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embeddings/oleObject2.bin" ContentType="application/vnd.openxmlformats-officedocument.oleObject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6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Cliente\Dropbox\PACOTE EQUISA\Equisa - Página\DOE - Planejamento Experimentos\"/>
    </mc:Choice>
  </mc:AlternateContent>
  <bookViews>
    <workbookView xWindow="10500" yWindow="75" windowWidth="19440" windowHeight="7995" activeTab="1" xr2:uid="{00000000-000D-0000-FFFF-FFFF00000000}"/>
  </bookViews>
  <sheets>
    <sheet name="PlanFat_2x2 completo (2)" sheetId="22" r:id="rId1"/>
    <sheet name="PlanFat_2x2 completo" sheetId="21" r:id="rId2"/>
  </sheets>
  <calcPr calcId="171027"/>
</workbook>
</file>

<file path=xl/calcChain.xml><?xml version="1.0" encoding="utf-8"?>
<calcChain xmlns="http://schemas.openxmlformats.org/spreadsheetml/2006/main">
  <c r="BM34" i="22" l="1"/>
  <c r="BM33" i="22"/>
  <c r="BM32" i="22"/>
  <c r="BM31" i="22"/>
  <c r="BM30" i="22"/>
  <c r="BM29" i="22"/>
  <c r="BM28" i="22"/>
  <c r="BV23" i="22"/>
  <c r="BF23" i="22"/>
  <c r="C23" i="22"/>
  <c r="B23" i="22"/>
  <c r="B24" i="22" s="1"/>
  <c r="BV22" i="22"/>
  <c r="BF22" i="22"/>
  <c r="BV21" i="22"/>
  <c r="BF21" i="22"/>
  <c r="F21" i="22"/>
  <c r="E21" i="22"/>
  <c r="BV20" i="22"/>
  <c r="BF20" i="22"/>
  <c r="BG19" i="22" s="1"/>
  <c r="BV19" i="22"/>
  <c r="BV18" i="22"/>
  <c r="BV17" i="22"/>
  <c r="BR17" i="22"/>
  <c r="BQ17" i="22"/>
  <c r="BP17" i="22"/>
  <c r="BV16" i="22"/>
  <c r="BV15" i="22"/>
  <c r="BM27" i="22" s="1"/>
  <c r="BI15" i="22"/>
  <c r="BV14" i="22"/>
  <c r="BM26" i="22" s="1"/>
  <c r="BV13" i="22"/>
  <c r="BM25" i="22" s="1"/>
  <c r="D13" i="22"/>
  <c r="BV12" i="22"/>
  <c r="BM24" i="22" s="1"/>
  <c r="BV11" i="22"/>
  <c r="BM23" i="22" s="1"/>
  <c r="BV10" i="22"/>
  <c r="BM22" i="22" s="1"/>
  <c r="BV9" i="22"/>
  <c r="BM21" i="22" s="1"/>
  <c r="BO9" i="22"/>
  <c r="D9" i="22"/>
  <c r="D12" i="22" s="1"/>
  <c r="C9" i="22"/>
  <c r="BV8" i="22"/>
  <c r="BM20" i="22" s="1"/>
  <c r="BO8" i="22"/>
  <c r="F7" i="22"/>
  <c r="F6" i="22"/>
  <c r="F9" i="22" s="1"/>
  <c r="K3" i="22"/>
  <c r="J3" i="22"/>
  <c r="AQ2" i="22"/>
  <c r="I2" i="22"/>
  <c r="H2" i="22"/>
  <c r="BH19" i="22" l="1"/>
  <c r="BH20" i="22" s="1"/>
  <c r="BP9" i="22"/>
  <c r="J7" i="22"/>
  <c r="C36" i="22"/>
  <c r="C32" i="22"/>
  <c r="C26" i="22"/>
  <c r="C25" i="22"/>
  <c r="C24" i="22"/>
  <c r="J9" i="22"/>
  <c r="J6" i="22"/>
  <c r="J5" i="22"/>
  <c r="J4" i="22"/>
  <c r="C35" i="22"/>
  <c r="C37" i="22"/>
  <c r="C33" i="22"/>
  <c r="C30" i="22"/>
  <c r="C29" i="22"/>
  <c r="J10" i="22"/>
  <c r="J8" i="22"/>
  <c r="C34" i="22"/>
  <c r="C28" i="22"/>
  <c r="C22" i="22"/>
  <c r="D11" i="22"/>
  <c r="BO10" i="22"/>
  <c r="B25" i="22"/>
  <c r="C27" i="22"/>
  <c r="E9" i="22"/>
  <c r="K9" i="22" s="1"/>
  <c r="BF23" i="21"/>
  <c r="BP15" i="22" l="1"/>
  <c r="D32" i="22"/>
  <c r="BQ18" i="22" s="1"/>
  <c r="F11" i="22"/>
  <c r="D29" i="22"/>
  <c r="BQ15" i="22" s="1"/>
  <c r="BH22" i="22"/>
  <c r="D36" i="22"/>
  <c r="BQ22" i="22" s="1"/>
  <c r="D23" i="22"/>
  <c r="K5" i="22"/>
  <c r="D30" i="22"/>
  <c r="BQ16" i="22" s="1"/>
  <c r="K7" i="22"/>
  <c r="D27" i="22"/>
  <c r="BQ13" i="22" s="1"/>
  <c r="D28" i="22"/>
  <c r="BQ14" i="22" s="1"/>
  <c r="K8" i="22"/>
  <c r="D33" i="22"/>
  <c r="BQ19" i="22" s="1"/>
  <c r="BI19" i="22"/>
  <c r="BH21" i="22"/>
  <c r="B26" i="22"/>
  <c r="BO11" i="22"/>
  <c r="BP14" i="22"/>
  <c r="BP21" i="22"/>
  <c r="BP18" i="22"/>
  <c r="F13" i="22"/>
  <c r="K4" i="22"/>
  <c r="BP20" i="22"/>
  <c r="BP16" i="22"/>
  <c r="BP10" i="22"/>
  <c r="BP22" i="22"/>
  <c r="BR22" i="22"/>
  <c r="D22" i="22"/>
  <c r="BQ8" i="22" s="1"/>
  <c r="BR13" i="22"/>
  <c r="BP13" i="22"/>
  <c r="BR19" i="22"/>
  <c r="BP19" i="22"/>
  <c r="BP11" i="22"/>
  <c r="D26" i="22"/>
  <c r="BQ12" i="22" s="1"/>
  <c r="D25" i="22"/>
  <c r="BQ11" i="22" s="1"/>
  <c r="BP8" i="22"/>
  <c r="BR23" i="22"/>
  <c r="BP23" i="22"/>
  <c r="BP12" i="22"/>
  <c r="K6" i="22"/>
  <c r="D24" i="22"/>
  <c r="BQ10" i="22" s="1"/>
  <c r="BG22" i="22" s="1"/>
  <c r="F12" i="22"/>
  <c r="D35" i="22"/>
  <c r="BQ21" i="22" s="1"/>
  <c r="D34" i="22"/>
  <c r="BQ20" i="22" s="1"/>
  <c r="K10" i="22"/>
  <c r="D37" i="22"/>
  <c r="BQ23" i="22" s="1"/>
  <c r="BV17" i="21"/>
  <c r="BV18" i="21"/>
  <c r="BV19" i="21"/>
  <c r="BV20" i="21"/>
  <c r="BV21" i="21"/>
  <c r="BV22" i="21"/>
  <c r="BV23" i="21"/>
  <c r="BF20" i="21"/>
  <c r="BI22" i="22" l="1"/>
  <c r="BG20" i="22"/>
  <c r="BR10" i="22"/>
  <c r="BR16" i="22"/>
  <c r="BH23" i="22"/>
  <c r="BG23" i="22"/>
  <c r="BR12" i="22"/>
  <c r="BR8" i="22"/>
  <c r="BR11" i="22"/>
  <c r="BI23" i="22" s="1"/>
  <c r="BR21" i="22"/>
  <c r="B27" i="22"/>
  <c r="BO12" i="22"/>
  <c r="BQ9" i="22"/>
  <c r="BG21" i="22" s="1"/>
  <c r="BR9" i="22"/>
  <c r="BI21" i="22" s="1"/>
  <c r="BJ19" i="22"/>
  <c r="S7" i="22" s="1"/>
  <c r="BI20" i="22"/>
  <c r="BR20" i="22"/>
  <c r="BR18" i="22"/>
  <c r="BR14" i="22"/>
  <c r="BR15" i="22"/>
  <c r="BV16" i="21"/>
  <c r="BV15" i="21"/>
  <c r="BV14" i="21"/>
  <c r="BV13" i="21"/>
  <c r="BV12" i="21"/>
  <c r="BV11" i="21"/>
  <c r="BV10" i="21"/>
  <c r="BV9" i="21"/>
  <c r="BV8" i="21"/>
  <c r="R7" i="22" l="1"/>
  <c r="BF28" i="22"/>
  <c r="R8" i="22"/>
  <c r="BO13" i="22"/>
  <c r="B28" i="22"/>
  <c r="BH24" i="22"/>
  <c r="BG24" i="22"/>
  <c r="BI24" i="22"/>
  <c r="BF27" i="22"/>
  <c r="T5" i="22" s="1"/>
  <c r="S8" i="22"/>
  <c r="S10" i="22" s="1"/>
  <c r="BF26" i="22"/>
  <c r="F21" i="21"/>
  <c r="E21" i="21"/>
  <c r="D9" i="21"/>
  <c r="C9" i="21"/>
  <c r="R10" i="22" l="1"/>
  <c r="R11" i="22" s="1"/>
  <c r="S11" i="22"/>
  <c r="BH25" i="22"/>
  <c r="BG25" i="22"/>
  <c r="BI25" i="22"/>
  <c r="BO14" i="22"/>
  <c r="B29" i="22"/>
  <c r="BG17" i="22"/>
  <c r="BJ7" i="22"/>
  <c r="Q6" i="22" s="1"/>
  <c r="BI7" i="22"/>
  <c r="P6" i="22" s="1"/>
  <c r="BW23" i="22"/>
  <c r="BL7" i="22"/>
  <c r="S6" i="22" s="1"/>
  <c r="BH7" i="22"/>
  <c r="O6" i="22" s="1"/>
  <c r="BG7" i="22"/>
  <c r="N6" i="22" s="1"/>
  <c r="BW10" i="22"/>
  <c r="BK7" i="22"/>
  <c r="R6" i="22" s="1"/>
  <c r="BW12" i="22"/>
  <c r="BW8" i="22"/>
  <c r="BW11" i="22"/>
  <c r="BW9" i="22"/>
  <c r="C30" i="21"/>
  <c r="C28" i="21"/>
  <c r="C26" i="21"/>
  <c r="C29" i="21"/>
  <c r="C27" i="21"/>
  <c r="C25" i="21"/>
  <c r="J6" i="21"/>
  <c r="J10" i="21"/>
  <c r="D13" i="21"/>
  <c r="J5" i="21"/>
  <c r="J9" i="21"/>
  <c r="J7" i="21"/>
  <c r="C37" i="21"/>
  <c r="C33" i="21"/>
  <c r="C36" i="21"/>
  <c r="C32" i="21"/>
  <c r="C24" i="21"/>
  <c r="C22" i="21"/>
  <c r="BP8" i="21" s="1"/>
  <c r="C35" i="21"/>
  <c r="C23" i="21"/>
  <c r="C34" i="21"/>
  <c r="D11" i="21"/>
  <c r="D12" i="21"/>
  <c r="J4" i="21"/>
  <c r="J8" i="21"/>
  <c r="BM34" i="21"/>
  <c r="BM26" i="21"/>
  <c r="B23" i="21"/>
  <c r="BO9" i="21" s="1"/>
  <c r="BM33" i="21"/>
  <c r="BM32" i="21"/>
  <c r="BM24" i="21"/>
  <c r="BM31" i="21"/>
  <c r="BM30" i="21"/>
  <c r="BM22" i="21"/>
  <c r="BM29" i="21"/>
  <c r="BI15" i="21"/>
  <c r="BM28" i="21"/>
  <c r="BO8" i="21"/>
  <c r="F6" i="21"/>
  <c r="BF22" i="21"/>
  <c r="BF21" i="21"/>
  <c r="K3" i="21"/>
  <c r="J3" i="21"/>
  <c r="AQ2" i="21"/>
  <c r="I2" i="21"/>
  <c r="H2" i="21"/>
  <c r="BW13" i="22" l="1"/>
  <c r="BH17" i="22"/>
  <c r="BO15" i="22"/>
  <c r="B30" i="22"/>
  <c r="BG26" i="22"/>
  <c r="BI26" i="22"/>
  <c r="BH26" i="22"/>
  <c r="B24" i="21"/>
  <c r="BG19" i="21"/>
  <c r="BP13" i="21"/>
  <c r="F7" i="21"/>
  <c r="BP12" i="21"/>
  <c r="BP17" i="21"/>
  <c r="BP10" i="21"/>
  <c r="BP11" i="21"/>
  <c r="BP16" i="21"/>
  <c r="BP23" i="21"/>
  <c r="BP20" i="21"/>
  <c r="BP21" i="21"/>
  <c r="BP14" i="21"/>
  <c r="BP15" i="21"/>
  <c r="BP22" i="21"/>
  <c r="BP9" i="21"/>
  <c r="BP18" i="21"/>
  <c r="BP19" i="21"/>
  <c r="B25" i="21"/>
  <c r="BO11" i="21" s="1"/>
  <c r="BO10" i="21"/>
  <c r="BM23" i="21"/>
  <c r="BM27" i="21"/>
  <c r="BM25" i="21"/>
  <c r="BM21" i="21"/>
  <c r="BM20" i="21"/>
  <c r="B31" i="22" l="1"/>
  <c r="BO16" i="22"/>
  <c r="BI27" i="22"/>
  <c r="BH27" i="22"/>
  <c r="BG27" i="22"/>
  <c r="BW14" i="22"/>
  <c r="BG8" i="22" a="1"/>
  <c r="BI17" i="22"/>
  <c r="BH19" i="21"/>
  <c r="BI19" i="21" s="1"/>
  <c r="B26" i="21"/>
  <c r="BO12" i="21" s="1"/>
  <c r="F9" i="21"/>
  <c r="E9" i="21"/>
  <c r="BK12" i="22" l="1"/>
  <c r="BG12" i="22"/>
  <c r="BI11" i="22"/>
  <c r="BK10" i="22"/>
  <c r="BG10" i="22"/>
  <c r="N2" i="22" s="1"/>
  <c r="BI9" i="22"/>
  <c r="BK8" i="22"/>
  <c r="BG8" i="22"/>
  <c r="BJ12" i="22"/>
  <c r="BL11" i="22"/>
  <c r="BH11" i="22"/>
  <c r="Q4" i="22" s="1"/>
  <c r="BJ10" i="22"/>
  <c r="BL9" i="22"/>
  <c r="BH9" i="22"/>
  <c r="O8" i="22" s="1"/>
  <c r="BJ8" i="22"/>
  <c r="BI12" i="22"/>
  <c r="BK11" i="22"/>
  <c r="BG11" i="22"/>
  <c r="BI10" i="22"/>
  <c r="BK9" i="22"/>
  <c r="BG9" i="22"/>
  <c r="N8" i="22" s="1"/>
  <c r="BI8" i="22"/>
  <c r="BL10" i="22"/>
  <c r="BH8" i="22"/>
  <c r="BJ11" i="22"/>
  <c r="BL8" i="22"/>
  <c r="BL12" i="22"/>
  <c r="BH10" i="22"/>
  <c r="N5" i="22" s="1"/>
  <c r="BH12" i="22"/>
  <c r="BJ9" i="22"/>
  <c r="BJ17" i="22"/>
  <c r="BJ18" i="22" s="1"/>
  <c r="BI28" i="22"/>
  <c r="BH28" i="22"/>
  <c r="BG28" i="22"/>
  <c r="BW15" i="22"/>
  <c r="BO17" i="22"/>
  <c r="B32" i="22"/>
  <c r="BJ19" i="21"/>
  <c r="BF27" i="21" s="1"/>
  <c r="D30" i="21"/>
  <c r="D28" i="21"/>
  <c r="D26" i="21"/>
  <c r="D29" i="21"/>
  <c r="D27" i="21"/>
  <c r="D25" i="21"/>
  <c r="F12" i="21"/>
  <c r="K4" i="21"/>
  <c r="F13" i="21"/>
  <c r="K8" i="21"/>
  <c r="K6" i="21"/>
  <c r="K7" i="21"/>
  <c r="K9" i="21"/>
  <c r="K10" i="21"/>
  <c r="K5" i="21"/>
  <c r="F11" i="21"/>
  <c r="B27" i="21"/>
  <c r="BO13" i="21" s="1"/>
  <c r="D37" i="21"/>
  <c r="D33" i="21"/>
  <c r="D22" i="21"/>
  <c r="D36" i="21"/>
  <c r="D32" i="21"/>
  <c r="D24" i="21"/>
  <c r="D34" i="21"/>
  <c r="D35" i="21"/>
  <c r="D23" i="21"/>
  <c r="BI18" i="22" l="1"/>
  <c r="BH13" i="22"/>
  <c r="O7" i="22"/>
  <c r="O10" i="22" s="1"/>
  <c r="BH18" i="22"/>
  <c r="AO9" i="22"/>
  <c r="AO10" i="22" s="1"/>
  <c r="AO11" i="22" s="1"/>
  <c r="BK15" i="22"/>
  <c r="BG15" i="22" s="1"/>
  <c r="BG13" i="22"/>
  <c r="N7" i="22"/>
  <c r="N10" i="22" s="1"/>
  <c r="BG18" i="22"/>
  <c r="B33" i="22"/>
  <c r="BO18" i="22"/>
  <c r="BW16" i="22"/>
  <c r="BJ13" i="22"/>
  <c r="Q2" i="22"/>
  <c r="S9" i="22"/>
  <c r="R9" i="22"/>
  <c r="BK13" i="22"/>
  <c r="BI29" i="22"/>
  <c r="BH29" i="22"/>
  <c r="BG29" i="22"/>
  <c r="BI13" i="22"/>
  <c r="P7" i="22"/>
  <c r="Q7" i="22"/>
  <c r="P8" i="22"/>
  <c r="Q8" i="22"/>
  <c r="BI25" i="21"/>
  <c r="B28" i="21"/>
  <c r="BO14" i="21" s="1"/>
  <c r="BQ15" i="21"/>
  <c r="BR15" i="21"/>
  <c r="BQ13" i="21"/>
  <c r="BH25" i="21" s="1"/>
  <c r="BR13" i="21"/>
  <c r="BQ20" i="21"/>
  <c r="BR20" i="21"/>
  <c r="BQ22" i="21"/>
  <c r="BR22" i="21"/>
  <c r="BQ19" i="21"/>
  <c r="BR19" i="21"/>
  <c r="BQ12" i="21"/>
  <c r="BR12" i="21"/>
  <c r="BI24" i="21" s="1"/>
  <c r="BQ17" i="21"/>
  <c r="BR17" i="21"/>
  <c r="BQ10" i="21"/>
  <c r="BR10" i="21"/>
  <c r="BI22" i="21" s="1"/>
  <c r="BR8" i="21"/>
  <c r="BI20" i="21" s="1"/>
  <c r="BQ8" i="21"/>
  <c r="BQ23" i="21"/>
  <c r="BR23" i="21"/>
  <c r="BR9" i="21"/>
  <c r="BI21" i="21" s="1"/>
  <c r="BQ9" i="21"/>
  <c r="BQ18" i="21"/>
  <c r="BR18" i="21"/>
  <c r="BQ16" i="21"/>
  <c r="BR16" i="21"/>
  <c r="BQ21" i="21"/>
  <c r="BR21" i="21"/>
  <c r="BQ14" i="21"/>
  <c r="BR14" i="21"/>
  <c r="BQ11" i="21"/>
  <c r="BR11" i="21"/>
  <c r="BI23" i="21" s="1"/>
  <c r="BH23" i="21" l="1"/>
  <c r="BG23" i="21"/>
  <c r="BH22" i="21"/>
  <c r="BG22" i="21"/>
  <c r="BH24" i="21"/>
  <c r="BG24" i="21"/>
  <c r="BH21" i="21"/>
  <c r="BG21" i="21"/>
  <c r="BH20" i="21"/>
  <c r="BG20" i="21"/>
  <c r="BG25" i="21"/>
  <c r="BW17" i="22"/>
  <c r="Q3" i="22"/>
  <c r="N3" i="22" s="1"/>
  <c r="N4" i="22" s="1"/>
  <c r="Q10" i="22"/>
  <c r="Q11" i="22" s="1"/>
  <c r="BO19" i="22"/>
  <c r="B34" i="22"/>
  <c r="H23" i="22"/>
  <c r="H26" i="22"/>
  <c r="H25" i="22"/>
  <c r="H22" i="22"/>
  <c r="H24" i="22"/>
  <c r="H27" i="22"/>
  <c r="H28" i="22"/>
  <c r="P10" i="22"/>
  <c r="N11" i="22"/>
  <c r="N9" i="22"/>
  <c r="BI30" i="22"/>
  <c r="BH30" i="22"/>
  <c r="BG30" i="22"/>
  <c r="BI14" i="22"/>
  <c r="BH14" i="22"/>
  <c r="BK14" i="22"/>
  <c r="BG14" i="22"/>
  <c r="BJ14" i="22"/>
  <c r="O9" i="22"/>
  <c r="O11" i="22"/>
  <c r="BG26" i="21"/>
  <c r="BI26" i="21"/>
  <c r="BH26" i="21"/>
  <c r="B29" i="21"/>
  <c r="B30" i="21"/>
  <c r="BO15" i="21"/>
  <c r="BW18" i="22" l="1"/>
  <c r="Q9" i="22"/>
  <c r="B35" i="22"/>
  <c r="BO20" i="22"/>
  <c r="P9" i="22"/>
  <c r="P11" i="22"/>
  <c r="BH31" i="22"/>
  <c r="BG31" i="22"/>
  <c r="BI31" i="22"/>
  <c r="BG27" i="21"/>
  <c r="BI27" i="21"/>
  <c r="BH27" i="21"/>
  <c r="B31" i="21"/>
  <c r="BO16" i="21"/>
  <c r="BF28" i="21"/>
  <c r="BW19" i="22" l="1"/>
  <c r="BI32" i="22"/>
  <c r="BH32" i="22"/>
  <c r="BG32" i="22"/>
  <c r="BO21" i="22"/>
  <c r="B36" i="22"/>
  <c r="BG28" i="21"/>
  <c r="BH28" i="21"/>
  <c r="BI28" i="21"/>
  <c r="BF26" i="21"/>
  <c r="BW14" i="21" s="1"/>
  <c r="T5" i="21"/>
  <c r="BG8" i="21" s="1" a="1"/>
  <c r="B32" i="21"/>
  <c r="BO17" i="21"/>
  <c r="BL7" i="21"/>
  <c r="BW20" i="22" l="1"/>
  <c r="B37" i="22"/>
  <c r="BO23" i="22" s="1"/>
  <c r="BO22" i="22"/>
  <c r="BI33" i="22"/>
  <c r="BH33" i="22"/>
  <c r="BG33" i="22"/>
  <c r="BG7" i="21"/>
  <c r="BG17" i="21"/>
  <c r="BJ7" i="21"/>
  <c r="Q6" i="21" s="1"/>
  <c r="BH7" i="21"/>
  <c r="BW12" i="21"/>
  <c r="BI7" i="21"/>
  <c r="BK7" i="21"/>
  <c r="R6" i="21" s="1"/>
  <c r="BW8" i="21"/>
  <c r="BW23" i="21"/>
  <c r="BW13" i="21"/>
  <c r="BG29" i="21"/>
  <c r="BH29" i="21"/>
  <c r="BI29" i="21"/>
  <c r="BG8" i="21"/>
  <c r="BI12" i="21"/>
  <c r="BK9" i="21"/>
  <c r="BL11" i="21"/>
  <c r="BH9" i="21"/>
  <c r="O8" i="21" s="1"/>
  <c r="BJ11" i="21"/>
  <c r="BL8" i="21"/>
  <c r="BI11" i="21"/>
  <c r="BK8" i="21"/>
  <c r="BK12" i="21"/>
  <c r="BJ12" i="21"/>
  <c r="BH12" i="21"/>
  <c r="BJ9" i="21"/>
  <c r="BI9" i="21"/>
  <c r="BK11" i="21"/>
  <c r="BG9" i="21"/>
  <c r="N8" i="21" s="1"/>
  <c r="BH11" i="21"/>
  <c r="Q4" i="21" s="1"/>
  <c r="Q2" i="21" s="1"/>
  <c r="BJ8" i="21"/>
  <c r="BL10" i="21"/>
  <c r="BH8" i="21"/>
  <c r="BK10" i="21"/>
  <c r="BH10" i="21"/>
  <c r="N5" i="21" s="1"/>
  <c r="BG10" i="21"/>
  <c r="N2" i="21" s="1"/>
  <c r="BI10" i="21"/>
  <c r="BL9" i="21"/>
  <c r="BG12" i="21"/>
  <c r="BG11" i="21"/>
  <c r="BI8" i="21"/>
  <c r="BJ10" i="21"/>
  <c r="BL12" i="21"/>
  <c r="BW15" i="21"/>
  <c r="BW11" i="21"/>
  <c r="BW10" i="21"/>
  <c r="BW9" i="21"/>
  <c r="BW16" i="21"/>
  <c r="BH17" i="21"/>
  <c r="S6" i="21"/>
  <c r="B33" i="21"/>
  <c r="BO18" i="21"/>
  <c r="P6" i="21"/>
  <c r="N6" i="21"/>
  <c r="O6" i="21"/>
  <c r="BW21" i="22" l="1"/>
  <c r="BG34" i="22"/>
  <c r="BI34" i="22"/>
  <c r="BH34" i="22"/>
  <c r="BG30" i="21"/>
  <c r="BI30" i="21"/>
  <c r="BH30" i="21"/>
  <c r="BG18" i="21"/>
  <c r="BK15" i="21"/>
  <c r="BW17" i="21"/>
  <c r="BI17" i="21"/>
  <c r="BH18" i="21"/>
  <c r="P8" i="21"/>
  <c r="Q8" i="21"/>
  <c r="AO9" i="21"/>
  <c r="B34" i="21"/>
  <c r="BO19" i="21"/>
  <c r="BG13" i="21"/>
  <c r="S8" i="21"/>
  <c r="R8" i="21"/>
  <c r="S7" i="21"/>
  <c r="BJ13" i="21"/>
  <c r="Q7" i="21"/>
  <c r="BK13" i="21"/>
  <c r="R7" i="21"/>
  <c r="N7" i="21"/>
  <c r="N10" i="21" s="1"/>
  <c r="BI13" i="21"/>
  <c r="P7" i="21"/>
  <c r="BH13" i="21"/>
  <c r="O7" i="21"/>
  <c r="O10" i="21" s="1"/>
  <c r="BW22" i="22" l="1"/>
  <c r="BG31" i="21"/>
  <c r="BI31" i="21"/>
  <c r="BH31" i="21"/>
  <c r="P10" i="21"/>
  <c r="P11" i="21" s="1"/>
  <c r="BW18" i="21"/>
  <c r="O11" i="21"/>
  <c r="O9" i="21"/>
  <c r="N11" i="21"/>
  <c r="N9" i="21"/>
  <c r="BJ17" i="21"/>
  <c r="BI18" i="21"/>
  <c r="Q10" i="21"/>
  <c r="BG15" i="21"/>
  <c r="Q3" i="21"/>
  <c r="N3" i="21" s="1"/>
  <c r="N4" i="21" s="1"/>
  <c r="B35" i="21"/>
  <c r="BO20" i="21"/>
  <c r="R10" i="21"/>
  <c r="S10" i="21"/>
  <c r="AO10" i="21"/>
  <c r="AO11" i="21" s="1"/>
  <c r="BG32" i="21" l="1"/>
  <c r="BH32" i="21"/>
  <c r="BI32" i="21"/>
  <c r="P9" i="21"/>
  <c r="BW19" i="21"/>
  <c r="Q11" i="21"/>
  <c r="Q9" i="21"/>
  <c r="S11" i="21"/>
  <c r="S9" i="21"/>
  <c r="R11" i="21"/>
  <c r="R9" i="21"/>
  <c r="BJ18" i="21"/>
  <c r="H29" i="21" s="1"/>
  <c r="BH14" i="21"/>
  <c r="BJ14" i="21"/>
  <c r="BK14" i="21"/>
  <c r="BG14" i="21"/>
  <c r="BI14" i="21"/>
  <c r="B36" i="21"/>
  <c r="BO21" i="21"/>
  <c r="H23" i="21" l="1"/>
  <c r="H22" i="21"/>
  <c r="H24" i="21"/>
  <c r="H30" i="21"/>
  <c r="H27" i="21"/>
  <c r="H26" i="21"/>
  <c r="H25" i="21"/>
  <c r="H28" i="21"/>
  <c r="BG33" i="21"/>
  <c r="BH33" i="21"/>
  <c r="BI33" i="21"/>
  <c r="BW20" i="21"/>
  <c r="B37" i="21"/>
  <c r="BO23" i="21" s="1"/>
  <c r="BO22" i="21"/>
  <c r="BG34" i="21" l="1"/>
  <c r="BH34" i="21"/>
  <c r="BI34" i="21"/>
  <c r="BW21" i="21"/>
  <c r="BW22" i="21" l="1"/>
</calcChain>
</file>

<file path=xl/sharedStrings.xml><?xml version="1.0" encoding="utf-8"?>
<sst xmlns="http://schemas.openxmlformats.org/spreadsheetml/2006/main" count="156" uniqueCount="58">
  <si>
    <t>variável A</t>
  </si>
  <si>
    <t>CODE</t>
  </si>
  <si>
    <t>VALORES</t>
  </si>
  <si>
    <t>status</t>
  </si>
  <si>
    <t>ordem</t>
  </si>
  <si>
    <t>experimentos</t>
  </si>
  <si>
    <t>A</t>
  </si>
  <si>
    <t>B</t>
  </si>
  <si>
    <t xml:space="preserve"> A*B</t>
  </si>
  <si>
    <t>t calc</t>
  </si>
  <si>
    <t xml:space="preserve">t </t>
  </si>
  <si>
    <t>tcritico</t>
  </si>
  <si>
    <t>variável B</t>
  </si>
  <si>
    <t>resíduo</t>
  </si>
  <si>
    <t>Condição ótima: (1) máx; (0) mín</t>
  </si>
  <si>
    <t>Valor</t>
  </si>
  <si>
    <t>N</t>
  </si>
  <si>
    <t>df</t>
  </si>
  <si>
    <t xml:space="preserve">alfa </t>
  </si>
  <si>
    <t>Valores  experimentais</t>
  </si>
  <si>
    <t>MATRIZ DOEHLERT</t>
  </si>
  <si>
    <t>Codes EXP</t>
  </si>
  <si>
    <t>homogeneização</t>
  </si>
  <si>
    <t>tempo</t>
  </si>
  <si>
    <t>Projeto Experimentos</t>
  </si>
  <si>
    <t>R2</t>
  </si>
  <si>
    <t>t crítico</t>
  </si>
  <si>
    <t>R2 ajustado</t>
  </si>
  <si>
    <t>N9 ajustado</t>
  </si>
  <si>
    <t>s resíduo</t>
  </si>
  <si>
    <t>coeficiente</t>
  </si>
  <si>
    <t>s</t>
  </si>
  <si>
    <t>a1</t>
  </si>
  <si>
    <t>a2</t>
  </si>
  <si>
    <t>a3</t>
  </si>
  <si>
    <t>CONSTANTE</t>
  </si>
  <si>
    <t>RESPOSTA</t>
  </si>
  <si>
    <t>linha inicial</t>
  </si>
  <si>
    <t>coluna inicial</t>
  </si>
  <si>
    <t>linha final</t>
  </si>
  <si>
    <t>coluna final</t>
  </si>
  <si>
    <t>Status coluna</t>
  </si>
  <si>
    <t>resposta</t>
  </si>
  <si>
    <t>nº colunas</t>
  </si>
  <si>
    <t>coluna max</t>
  </si>
  <si>
    <t>nº parametros</t>
  </si>
  <si>
    <t xml:space="preserve">INCLINAÇÃO </t>
  </si>
  <si>
    <t>CTE</t>
  </si>
  <si>
    <t>MAIOR VALOR (V+)</t>
  </si>
  <si>
    <t>MENOR  VALOR (V-)</t>
  </si>
  <si>
    <t>Code maior (C-)</t>
  </si>
  <si>
    <t>code menor (C+)</t>
  </si>
  <si>
    <t>V=Incl*C +cte</t>
  </si>
  <si>
    <t>DOEHLERT  - 2 variáveis</t>
  </si>
  <si>
    <t>TRATAMENTO DOS DADOS</t>
  </si>
  <si>
    <t>p-value</t>
  </si>
  <si>
    <t>Faixa de Dados</t>
  </si>
  <si>
    <t>Resíduo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</si>
</sst>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0.0000"/>
    <numFmt numFmtId="167" formatCode="0.00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Arial Rounded MT Bold"/>
      <family val="2"/>
    </font>
    <font>
      <sz val="12"/>
      <color rgb="FF000000"/>
      <name val="Arial"/>
      <family val="2"/>
    </font>
    <font>
      <b/>
      <sz val="10"/>
      <color theme="1"/>
      <name val="Calibri"/>
      <family val="2"/>
      <scheme val="minor"/>
    </font>
    <font>
      <sz val="22"/>
      <color theme="1"/>
      <name val="Arial Rounded MT Bold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0" fillId="0" borderId="0" xfId="0"/>
    <xf numFmtId="0" fontId="0" fillId="0" borderId="0" xfId="0" applyFill="1" applyBorder="1"/>
    <xf numFmtId="2" fontId="0" fillId="0" borderId="0" xfId="0" applyNumberFormat="1" applyFill="1" applyBorder="1"/>
    <xf numFmtId="164" fontId="0" fillId="0" borderId="0" xfId="0" applyNumberFormat="1" applyFill="1" applyBorder="1"/>
    <xf numFmtId="2" fontId="0" fillId="0" borderId="0" xfId="0" applyNumberFormat="1"/>
    <xf numFmtId="0" fontId="0" fillId="0" borderId="7" xfId="0" applyBorder="1"/>
    <xf numFmtId="0" fontId="0" fillId="0" borderId="8" xfId="0" applyBorder="1"/>
    <xf numFmtId="0" fontId="0" fillId="2" borderId="9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2" borderId="4" xfId="0" applyFill="1" applyBorder="1"/>
    <xf numFmtId="0" fontId="0" fillId="0" borderId="3" xfId="0" applyBorder="1"/>
    <xf numFmtId="0" fontId="0" fillId="0" borderId="13" xfId="0" applyBorder="1"/>
    <xf numFmtId="0" fontId="0" fillId="0" borderId="14" xfId="0" applyBorder="1"/>
    <xf numFmtId="0" fontId="0" fillId="0" borderId="6" xfId="0" applyFill="1" applyBorder="1"/>
    <xf numFmtId="0" fontId="0" fillId="0" borderId="5" xfId="0" applyFill="1" applyBorder="1"/>
    <xf numFmtId="0" fontId="0" fillId="0" borderId="5" xfId="0" applyBorder="1"/>
    <xf numFmtId="0" fontId="0" fillId="0" borderId="6" xfId="0" applyBorder="1"/>
    <xf numFmtId="165" fontId="0" fillId="0" borderId="5" xfId="0" applyNumberFormat="1" applyBorder="1"/>
    <xf numFmtId="165" fontId="0" fillId="0" borderId="6" xfId="0" applyNumberFormat="1" applyBorder="1"/>
    <xf numFmtId="164" fontId="0" fillId="0" borderId="5" xfId="0" applyNumberFormat="1" applyBorder="1"/>
    <xf numFmtId="2" fontId="0" fillId="0" borderId="6" xfId="0" applyNumberFormat="1" applyBorder="1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0" borderId="0" xfId="0" applyFill="1"/>
    <xf numFmtId="166" fontId="0" fillId="0" borderId="5" xfId="0" applyNumberFormat="1" applyBorder="1"/>
    <xf numFmtId="0" fontId="0" fillId="0" borderId="22" xfId="0" applyBorder="1"/>
    <xf numFmtId="0" fontId="0" fillId="0" borderId="25" xfId="0" applyBorder="1"/>
    <xf numFmtId="0" fontId="0" fillId="0" borderId="29" xfId="0" applyBorder="1" applyAlignment="1">
      <alignment horizontal="center"/>
    </xf>
    <xf numFmtId="0" fontId="0" fillId="2" borderId="24" xfId="0" applyFill="1" applyBorder="1"/>
    <xf numFmtId="165" fontId="3" fillId="0" borderId="0" xfId="0" applyNumberFormat="1" applyFont="1" applyFill="1" applyBorder="1"/>
    <xf numFmtId="164" fontId="3" fillId="0" borderId="0" xfId="0" applyNumberFormat="1" applyFont="1" applyFill="1" applyBorder="1"/>
    <xf numFmtId="0" fontId="0" fillId="0" borderId="24" xfId="0" applyBorder="1"/>
    <xf numFmtId="0" fontId="0" fillId="0" borderId="27" xfId="0" applyFill="1" applyBorder="1" applyAlignment="1">
      <alignment horizontal="center"/>
    </xf>
    <xf numFmtId="165" fontId="0" fillId="0" borderId="0" xfId="0" applyNumberFormat="1" applyFill="1" applyBorder="1"/>
    <xf numFmtId="2" fontId="0" fillId="3" borderId="23" xfId="0" applyNumberFormat="1" applyFill="1" applyBorder="1"/>
    <xf numFmtId="0" fontId="0" fillId="3" borderId="23" xfId="0" applyFill="1" applyBorder="1"/>
    <xf numFmtId="0" fontId="0" fillId="3" borderId="23" xfId="0" applyFill="1" applyBorder="1" applyAlignment="1">
      <alignment horizontal="right"/>
    </xf>
    <xf numFmtId="164" fontId="4" fillId="0" borderId="0" xfId="0" applyNumberFormat="1" applyFont="1" applyBorder="1"/>
    <xf numFmtId="0" fontId="0" fillId="0" borderId="23" xfId="0" applyBorder="1"/>
    <xf numFmtId="2" fontId="0" fillId="2" borderId="16" xfId="0" applyNumberFormat="1" applyFill="1" applyBorder="1"/>
    <xf numFmtId="165" fontId="0" fillId="2" borderId="29" xfId="0" applyNumberFormat="1" applyFill="1" applyBorder="1"/>
    <xf numFmtId="0" fontId="0" fillId="0" borderId="31" xfId="0" applyBorder="1" applyAlignment="1">
      <alignment horizontal="center"/>
    </xf>
    <xf numFmtId="165" fontId="0" fillId="0" borderId="31" xfId="0" applyNumberFormat="1" applyBorder="1"/>
    <xf numFmtId="165" fontId="0" fillId="0" borderId="32" xfId="0" applyNumberFormat="1" applyBorder="1"/>
    <xf numFmtId="0" fontId="0" fillId="0" borderId="33" xfId="0" applyFill="1" applyBorder="1" applyAlignment="1">
      <alignment horizontal="left"/>
    </xf>
    <xf numFmtId="0" fontId="0" fillId="0" borderId="34" xfId="0" applyFill="1" applyBorder="1" applyAlignment="1">
      <alignment horizontal="left"/>
    </xf>
    <xf numFmtId="165" fontId="1" fillId="0" borderId="16" xfId="0" applyNumberFormat="1" applyFont="1" applyBorder="1"/>
    <xf numFmtId="165" fontId="1" fillId="0" borderId="18" xfId="0" applyNumberFormat="1" applyFont="1" applyBorder="1"/>
    <xf numFmtId="0" fontId="1" fillId="0" borderId="36" xfId="0" applyFont="1" applyBorder="1"/>
    <xf numFmtId="164" fontId="1" fillId="0" borderId="35" xfId="0" applyNumberFormat="1" applyFont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/>
    <xf numFmtId="0" fontId="1" fillId="0" borderId="1" xfId="0" applyFont="1" applyFill="1" applyBorder="1"/>
    <xf numFmtId="0" fontId="0" fillId="0" borderId="15" xfId="0" applyFill="1" applyBorder="1"/>
    <xf numFmtId="0" fontId="1" fillId="0" borderId="15" xfId="0" applyFont="1" applyFill="1" applyBorder="1"/>
    <xf numFmtId="164" fontId="0" fillId="0" borderId="2" xfId="0" applyNumberFormat="1" applyFill="1" applyBorder="1"/>
    <xf numFmtId="0" fontId="1" fillId="0" borderId="5" xfId="0" applyFont="1" applyFill="1" applyBorder="1"/>
    <xf numFmtId="0" fontId="1" fillId="0" borderId="0" xfId="0" applyFont="1" applyFill="1" applyBorder="1"/>
    <xf numFmtId="166" fontId="0" fillId="0" borderId="0" xfId="0" applyNumberFormat="1" applyFill="1" applyBorder="1"/>
    <xf numFmtId="0" fontId="1" fillId="0" borderId="21" xfId="0" applyFont="1" applyFill="1" applyBorder="1"/>
    <xf numFmtId="166" fontId="0" fillId="3" borderId="19" xfId="0" applyNumberFormat="1" applyFill="1" applyBorder="1"/>
    <xf numFmtId="0" fontId="0" fillId="0" borderId="19" xfId="0" applyFill="1" applyBorder="1"/>
    <xf numFmtId="0" fontId="0" fillId="0" borderId="20" xfId="0" applyFill="1" applyBorder="1"/>
    <xf numFmtId="0" fontId="1" fillId="0" borderId="1" xfId="0" applyFont="1" applyBorder="1" applyAlignment="1">
      <alignment horizontal="center"/>
    </xf>
    <xf numFmtId="2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3" fillId="0" borderId="0" xfId="0" applyFont="1"/>
    <xf numFmtId="0" fontId="1" fillId="2" borderId="22" xfId="0" applyFont="1" applyFill="1" applyBorder="1"/>
    <xf numFmtId="2" fontId="1" fillId="0" borderId="26" xfId="0" applyNumberFormat="1" applyFont="1" applyFill="1" applyBorder="1" applyAlignment="1">
      <alignment horizontal="center"/>
    </xf>
    <xf numFmtId="4" fontId="0" fillId="0" borderId="0" xfId="0" applyNumberFormat="1"/>
    <xf numFmtId="2" fontId="1" fillId="0" borderId="0" xfId="0" applyNumberFormat="1" applyFont="1" applyFill="1" applyBorder="1" applyAlignment="1">
      <alignment horizontal="center"/>
    </xf>
    <xf numFmtId="1" fontId="1" fillId="0" borderId="22" xfId="0" applyNumberFormat="1" applyFont="1" applyFill="1" applyBorder="1"/>
    <xf numFmtId="1" fontId="1" fillId="0" borderId="23" xfId="0" applyNumberFormat="1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164" fontId="1" fillId="4" borderId="5" xfId="0" applyNumberFormat="1" applyFont="1" applyFill="1" applyBorder="1"/>
    <xf numFmtId="164" fontId="1" fillId="4" borderId="0" xfId="0" applyNumberFormat="1" applyFont="1" applyFill="1" applyBorder="1"/>
    <xf numFmtId="164" fontId="1" fillId="4" borderId="6" xfId="0" applyNumberFormat="1" applyFont="1" applyFill="1" applyBorder="1"/>
    <xf numFmtId="164" fontId="0" fillId="0" borderId="0" xfId="0" applyNumberFormat="1" applyBorder="1"/>
    <xf numFmtId="166" fontId="0" fillId="3" borderId="0" xfId="0" applyNumberFormat="1" applyFill="1" applyBorder="1"/>
    <xf numFmtId="0" fontId="3" fillId="0" borderId="0" xfId="0" applyFont="1" applyBorder="1"/>
    <xf numFmtId="0" fontId="3" fillId="0" borderId="6" xfId="0" applyFont="1" applyBorder="1"/>
    <xf numFmtId="0" fontId="4" fillId="0" borderId="5" xfId="0" applyFont="1" applyBorder="1"/>
    <xf numFmtId="164" fontId="0" fillId="0" borderId="24" xfId="0" applyNumberFormat="1" applyBorder="1"/>
    <xf numFmtId="1" fontId="0" fillId="0" borderId="24" xfId="0" applyNumberFormat="1" applyBorder="1"/>
    <xf numFmtId="164" fontId="2" fillId="0" borderId="37" xfId="0" applyNumberFormat="1" applyFont="1" applyFill="1" applyBorder="1"/>
    <xf numFmtId="164" fontId="2" fillId="0" borderId="17" xfId="0" applyNumberFormat="1" applyFont="1" applyFill="1" applyBorder="1"/>
    <xf numFmtId="2" fontId="0" fillId="0" borderId="0" xfId="0" applyNumberFormat="1" applyFill="1" applyBorder="1" applyAlignment="1">
      <alignment horizontal="right"/>
    </xf>
    <xf numFmtId="0" fontId="1" fillId="0" borderId="0" xfId="0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 vertical="center"/>
    </xf>
    <xf numFmtId="0" fontId="0" fillId="2" borderId="38" xfId="0" applyFill="1" applyBorder="1"/>
    <xf numFmtId="0" fontId="0" fillId="2" borderId="39" xfId="0" applyFill="1" applyBorder="1"/>
    <xf numFmtId="0" fontId="0" fillId="2" borderId="40" xfId="0" applyFill="1" applyBorder="1"/>
    <xf numFmtId="164" fontId="2" fillId="0" borderId="0" xfId="0" applyNumberFormat="1" applyFont="1" applyFill="1" applyBorder="1"/>
    <xf numFmtId="0" fontId="3" fillId="0" borderId="0" xfId="0" applyFont="1" applyFill="1" applyBorder="1"/>
    <xf numFmtId="0" fontId="0" fillId="0" borderId="26" xfId="0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6" fillId="0" borderId="0" xfId="0" applyFont="1" applyFill="1" applyBorder="1"/>
    <xf numFmtId="1" fontId="1" fillId="0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/>
    <xf numFmtId="2" fontId="3" fillId="0" borderId="0" xfId="0" applyNumberFormat="1" applyFont="1" applyFill="1" applyBorder="1"/>
    <xf numFmtId="4" fontId="0" fillId="0" borderId="0" xfId="0" applyNumberFormat="1" applyFill="1" applyBorder="1"/>
    <xf numFmtId="0" fontId="0" fillId="0" borderId="25" xfId="0" applyFill="1" applyBorder="1" applyAlignment="1">
      <alignment horizontal="center"/>
    </xf>
    <xf numFmtId="164" fontId="4" fillId="0" borderId="6" xfId="0" applyNumberFormat="1" applyFont="1" applyBorder="1"/>
    <xf numFmtId="164" fontId="4" fillId="0" borderId="5" xfId="0" applyNumberFormat="1" applyFont="1" applyBorder="1"/>
    <xf numFmtId="164" fontId="0" fillId="0" borderId="6" xfId="0" applyNumberFormat="1" applyFill="1" applyBorder="1"/>
    <xf numFmtId="0" fontId="4" fillId="0" borderId="21" xfId="0" applyFont="1" applyBorder="1"/>
    <xf numFmtId="0" fontId="4" fillId="0" borderId="19" xfId="0" applyFont="1" applyBorder="1"/>
    <xf numFmtId="0" fontId="3" fillId="0" borderId="19" xfId="0" applyFont="1" applyBorder="1"/>
    <xf numFmtId="0" fontId="3" fillId="0" borderId="20" xfId="0" applyFont="1" applyBorder="1"/>
    <xf numFmtId="166" fontId="1" fillId="0" borderId="0" xfId="0" applyNumberFormat="1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right"/>
    </xf>
    <xf numFmtId="0" fontId="1" fillId="0" borderId="35" xfId="0" applyFont="1" applyBorder="1"/>
    <xf numFmtId="0" fontId="7" fillId="0" borderId="1" xfId="0" applyFont="1" applyBorder="1"/>
    <xf numFmtId="0" fontId="7" fillId="0" borderId="2" xfId="0" applyFont="1" applyBorder="1"/>
    <xf numFmtId="0" fontId="7" fillId="0" borderId="21" xfId="0" applyFont="1" applyBorder="1"/>
    <xf numFmtId="0" fontId="7" fillId="0" borderId="19" xfId="0" applyFont="1" applyBorder="1"/>
    <xf numFmtId="0" fontId="7" fillId="0" borderId="20" xfId="0" applyFont="1" applyBorder="1"/>
    <xf numFmtId="0" fontId="7" fillId="0" borderId="15" xfId="0" applyFont="1" applyBorder="1"/>
    <xf numFmtId="165" fontId="7" fillId="0" borderId="21" xfId="0" applyNumberFormat="1" applyFont="1" applyBorder="1"/>
    <xf numFmtId="0" fontId="0" fillId="0" borderId="8" xfId="0" applyBorder="1" applyAlignment="1">
      <alignment horizontal="center"/>
    </xf>
    <xf numFmtId="0" fontId="0" fillId="0" borderId="42" xfId="0" applyBorder="1" applyAlignment="1">
      <alignment horizontal="center"/>
    </xf>
    <xf numFmtId="0" fontId="1" fillId="0" borderId="42" xfId="0" applyFont="1" applyFill="1" applyBorder="1" applyAlignment="1">
      <alignment horizontal="left"/>
    </xf>
    <xf numFmtId="165" fontId="1" fillId="0" borderId="33" xfId="0" applyNumberFormat="1" applyFont="1" applyBorder="1"/>
    <xf numFmtId="165" fontId="0" fillId="0" borderId="34" xfId="0" applyNumberFormat="1" applyBorder="1"/>
    <xf numFmtId="165" fontId="0" fillId="0" borderId="35" xfId="0" applyNumberFormat="1" applyBorder="1"/>
    <xf numFmtId="165" fontId="0" fillId="0" borderId="36" xfId="0" applyNumberFormat="1" applyBorder="1"/>
    <xf numFmtId="0" fontId="1" fillId="0" borderId="30" xfId="0" applyFont="1" applyFill="1" applyBorder="1"/>
    <xf numFmtId="165" fontId="0" fillId="0" borderId="43" xfId="0" applyNumberFormat="1" applyBorder="1"/>
    <xf numFmtId="0" fontId="8" fillId="0" borderId="0" xfId="0" applyFont="1"/>
    <xf numFmtId="0" fontId="0" fillId="2" borderId="44" xfId="0" applyFill="1" applyBorder="1"/>
    <xf numFmtId="164" fontId="4" fillId="0" borderId="0" xfId="0" applyNumberFormat="1" applyFont="1" applyFill="1" applyBorder="1"/>
    <xf numFmtId="0" fontId="0" fillId="0" borderId="10" xfId="0" applyBorder="1" applyAlignment="1">
      <alignment horizontal="left"/>
    </xf>
    <xf numFmtId="0" fontId="0" fillId="0" borderId="38" xfId="0" applyBorder="1"/>
    <xf numFmtId="0" fontId="0" fillId="0" borderId="39" xfId="0" applyBorder="1"/>
    <xf numFmtId="0" fontId="0" fillId="0" borderId="40" xfId="0" applyFill="1" applyBorder="1"/>
    <xf numFmtId="2" fontId="0" fillId="2" borderId="31" xfId="0" applyNumberFormat="1" applyFill="1" applyBorder="1"/>
    <xf numFmtId="0" fontId="0" fillId="0" borderId="18" xfId="0" applyFill="1" applyBorder="1"/>
    <xf numFmtId="0" fontId="0" fillId="0" borderId="36" xfId="0" applyFill="1" applyBorder="1"/>
    <xf numFmtId="2" fontId="0" fillId="0" borderId="27" xfId="0" applyNumberFormat="1" applyFill="1" applyBorder="1" applyAlignment="1">
      <alignment horizontal="center"/>
    </xf>
    <xf numFmtId="166" fontId="9" fillId="0" borderId="15" xfId="0" applyNumberFormat="1" applyFont="1" applyFill="1" applyBorder="1"/>
    <xf numFmtId="0" fontId="10" fillId="0" borderId="0" xfId="0" applyFont="1" applyFill="1" applyBorder="1"/>
    <xf numFmtId="0" fontId="10" fillId="0" borderId="0" xfId="0" applyFont="1"/>
    <xf numFmtId="0" fontId="0" fillId="0" borderId="17" xfId="0" applyFill="1" applyBorder="1"/>
    <xf numFmtId="0" fontId="11" fillId="0" borderId="0" xfId="0" applyFont="1" applyBorder="1" applyAlignment="1">
      <alignment horizontal="center" vertical="center" wrapText="1"/>
    </xf>
    <xf numFmtId="3" fontId="0" fillId="0" borderId="0" xfId="0" applyNumberFormat="1" applyBorder="1"/>
    <xf numFmtId="166" fontId="0" fillId="0" borderId="0" xfId="0" applyNumberFormat="1"/>
    <xf numFmtId="0" fontId="0" fillId="0" borderId="26" xfId="0" applyFill="1" applyBorder="1"/>
    <xf numFmtId="0" fontId="1" fillId="0" borderId="26" xfId="0" applyFont="1" applyBorder="1" applyAlignment="1">
      <alignment horizontal="center"/>
    </xf>
    <xf numFmtId="164" fontId="0" fillId="0" borderId="5" xfId="0" applyNumberFormat="1" applyFill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0" fontId="0" fillId="0" borderId="21" xfId="0" applyFill="1" applyBorder="1"/>
    <xf numFmtId="2" fontId="0" fillId="3" borderId="27" xfId="0" applyNumberFormat="1" applyFill="1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21" xfId="0" applyBorder="1" applyAlignment="1">
      <alignment horizontal="right"/>
    </xf>
    <xf numFmtId="0" fontId="13" fillId="0" borderId="0" xfId="0" applyFont="1" applyFill="1" applyBorder="1"/>
    <xf numFmtId="167" fontId="0" fillId="0" borderId="5" xfId="0" applyNumberFormat="1" applyFill="1" applyBorder="1"/>
    <xf numFmtId="167" fontId="0" fillId="0" borderId="0" xfId="0" applyNumberFormat="1" applyFill="1" applyBorder="1"/>
    <xf numFmtId="0" fontId="1" fillId="0" borderId="22" xfId="0" applyFont="1" applyBorder="1"/>
    <xf numFmtId="0" fontId="1" fillId="0" borderId="23" xfId="0" applyFont="1" applyBorder="1"/>
    <xf numFmtId="2" fontId="1" fillId="0" borderId="23" xfId="0" applyNumberFormat="1" applyFont="1" applyFill="1" applyBorder="1"/>
    <xf numFmtId="0" fontId="1" fillId="0" borderId="46" xfId="0" applyFont="1" applyFill="1" applyBorder="1" applyAlignment="1">
      <alignment horizontal="center"/>
    </xf>
    <xf numFmtId="166" fontId="15" fillId="0" borderId="5" xfId="0" applyNumberFormat="1" applyFont="1" applyBorder="1"/>
    <xf numFmtId="0" fontId="0" fillId="2" borderId="20" xfId="0" applyFill="1" applyBorder="1"/>
    <xf numFmtId="0" fontId="3" fillId="0" borderId="1" xfId="0" applyFont="1" applyBorder="1"/>
    <xf numFmtId="0" fontId="3" fillId="0" borderId="2" xfId="0" applyFont="1" applyBorder="1"/>
    <xf numFmtId="0" fontId="3" fillId="0" borderId="21" xfId="0" applyFont="1" applyBorder="1"/>
    <xf numFmtId="1" fontId="3" fillId="0" borderId="20" xfId="0" applyNumberFormat="1" applyFont="1" applyBorder="1"/>
    <xf numFmtId="0" fontId="0" fillId="0" borderId="0" xfId="0" applyAlignment="1">
      <alignment horizontal="center"/>
    </xf>
    <xf numFmtId="2" fontId="14" fillId="0" borderId="21" xfId="0" applyNumberFormat="1" applyFont="1" applyFill="1" applyBorder="1" applyAlignment="1">
      <alignment horizontal="left" textRotation="45"/>
    </xf>
    <xf numFmtId="2" fontId="14" fillId="0" borderId="25" xfId="0" applyNumberFormat="1" applyFont="1" applyFill="1" applyBorder="1" applyAlignment="1">
      <alignment horizontal="center" textRotation="45"/>
    </xf>
    <xf numFmtId="1" fontId="1" fillId="0" borderId="0" xfId="0" applyNumberFormat="1" applyFont="1" applyFill="1" applyBorder="1" applyAlignment="1">
      <alignment horizontal="center" textRotation="45"/>
    </xf>
    <xf numFmtId="166" fontId="15" fillId="0" borderId="0" xfId="0" applyNumberFormat="1" applyFont="1" applyBorder="1"/>
    <xf numFmtId="166" fontId="15" fillId="0" borderId="6" xfId="0" applyNumberFormat="1" applyFont="1" applyBorder="1"/>
    <xf numFmtId="2" fontId="12" fillId="0" borderId="22" xfId="0" applyNumberFormat="1" applyFont="1" applyFill="1" applyBorder="1" applyAlignment="1">
      <alignment horizontal="center"/>
    </xf>
    <xf numFmtId="166" fontId="6" fillId="0" borderId="22" xfId="0" applyNumberFormat="1" applyFont="1" applyFill="1" applyBorder="1"/>
    <xf numFmtId="166" fontId="6" fillId="0" borderId="23" xfId="0" applyNumberFormat="1" applyFont="1" applyFill="1" applyBorder="1"/>
    <xf numFmtId="0" fontId="6" fillId="0" borderId="23" xfId="0" applyFont="1" applyFill="1" applyBorder="1"/>
    <xf numFmtId="164" fontId="6" fillId="0" borderId="24" xfId="0" applyNumberFormat="1" applyFont="1" applyFill="1" applyBorder="1"/>
    <xf numFmtId="165" fontId="1" fillId="0" borderId="34" xfId="0" applyNumberFormat="1" applyFont="1" applyBorder="1"/>
    <xf numFmtId="165" fontId="1" fillId="0" borderId="35" xfId="0" applyNumberFormat="1" applyFont="1" applyBorder="1"/>
    <xf numFmtId="2" fontId="14" fillId="0" borderId="0" xfId="0" applyNumberFormat="1" applyFont="1" applyFill="1" applyBorder="1" applyAlignment="1">
      <alignment horizontal="left"/>
    </xf>
    <xf numFmtId="2" fontId="14" fillId="0" borderId="0" xfId="0" applyNumberFormat="1" applyFont="1" applyFill="1" applyBorder="1" applyAlignment="1">
      <alignment horizontal="center"/>
    </xf>
    <xf numFmtId="0" fontId="1" fillId="2" borderId="25" xfId="0" applyFont="1" applyFill="1" applyBorder="1"/>
    <xf numFmtId="2" fontId="16" fillId="0" borderId="28" xfId="0" applyNumberFormat="1" applyFont="1" applyFill="1" applyBorder="1" applyAlignment="1">
      <alignment horizontal="left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45" xfId="0" applyFill="1" applyBorder="1" applyAlignment="1">
      <alignment horizontal="center"/>
    </xf>
    <xf numFmtId="0" fontId="0" fillId="0" borderId="4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2" fontId="17" fillId="5" borderId="33" xfId="0" applyNumberFormat="1" applyFont="1" applyFill="1" applyBorder="1"/>
    <xf numFmtId="2" fontId="17" fillId="5" borderId="16" xfId="0" applyNumberFormat="1" applyFont="1" applyFill="1" applyBorder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2728689287654E-2"/>
          <c:y val="5.5234009536782369E-2"/>
          <c:w val="0.84274203320868557"/>
          <c:h val="0.74546559225645281"/>
        </c:manualLayout>
      </c:layout>
      <c:scatterChart>
        <c:scatterStyle val="lineMarker"/>
        <c:varyColors val="0"/>
        <c:ser>
          <c:idx val="1"/>
          <c:order val="0"/>
          <c:tx>
            <c:strRef>
              <c:f>'PlanFat_2x2 completo (2)'!$H$1</c:f>
              <c:strCache>
                <c:ptCount val="1"/>
                <c:pt idx="0">
                  <c:v>Projeto Experimentos</c:v>
                </c:pt>
              </c:strCache>
            </c:strRef>
          </c:tx>
          <c:spPr>
            <a:ln w="28575">
              <a:noFill/>
            </a:ln>
          </c:spPr>
          <c:xVal>
            <c:numRef>
              <c:f>'PlanFat_2x2 completo (2)'!$H$4:$H$12</c:f>
              <c:numCache>
                <c:formatCode>0.0</c:formatCode>
                <c:ptCount val="9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xVal>
          <c:yVal>
            <c:numRef>
              <c:f>'PlanFat_2x2 completo (2)'!$I$4:$I$12</c:f>
              <c:numCache>
                <c:formatCode>0.0</c:formatCode>
                <c:ptCount val="9"/>
                <c:pt idx="0">
                  <c:v>-1</c:v>
                </c:pt>
                <c:pt idx="1">
                  <c:v>1</c:v>
                </c:pt>
                <c:pt idx="2">
                  <c:v>-1</c:v>
                </c:pt>
                <c:pt idx="3">
                  <c:v>1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BA-49F6-9516-9EB0687F88E1}"/>
            </c:ext>
          </c:extLst>
        </c:ser>
        <c:ser>
          <c:idx val="0"/>
          <c:order val="1"/>
          <c:tx>
            <c:strRef>
              <c:f>'PlanFat_2x2 completo (2)'!$C$19</c:f>
              <c:strCache>
                <c:ptCount val="1"/>
                <c:pt idx="0">
                  <c:v>Codes EXP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'PlanFat_2x2 completo (2)'!$C$22:$C$38</c:f>
              <c:numCache>
                <c:formatCode>0.0</c:formatCode>
                <c:ptCount val="17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-1</c:v>
                </c:pt>
                <c:pt idx="4">
                  <c:v>-1</c:v>
                </c:pt>
                <c:pt idx="5">
                  <c:v>1</c:v>
                </c:pt>
                <c:pt idx="6">
                  <c:v>1</c:v>
                </c:pt>
                <c:pt idx="7">
                  <c:v>-19</c:v>
                </c:pt>
                <c:pt idx="8">
                  <c:v>-19</c:v>
                </c:pt>
                <c:pt idx="10">
                  <c:v>-19</c:v>
                </c:pt>
                <c:pt idx="11">
                  <c:v>-19</c:v>
                </c:pt>
                <c:pt idx="12">
                  <c:v>-19</c:v>
                </c:pt>
                <c:pt idx="13">
                  <c:v>-19</c:v>
                </c:pt>
                <c:pt idx="14">
                  <c:v>-19</c:v>
                </c:pt>
                <c:pt idx="15">
                  <c:v>-19</c:v>
                </c:pt>
              </c:numCache>
            </c:numRef>
          </c:xVal>
          <c:yVal>
            <c:numRef>
              <c:f>'PlanFat_2x2 completo (2)'!$D$22:$D$38</c:f>
              <c:numCache>
                <c:formatCode>0.0</c:formatCode>
                <c:ptCount val="17"/>
                <c:pt idx="0">
                  <c:v>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1</c:v>
                </c:pt>
                <c:pt idx="6">
                  <c:v>-1</c:v>
                </c:pt>
                <c:pt idx="7">
                  <c:v>2</c:v>
                </c:pt>
                <c:pt idx="8">
                  <c:v>2</c:v>
                </c:pt>
                <c:pt idx="10" formatCode="General">
                  <c:v>2</c:v>
                </c:pt>
                <c:pt idx="11" formatCode="General">
                  <c:v>2</c:v>
                </c:pt>
                <c:pt idx="12" formatCode="General">
                  <c:v>2</c:v>
                </c:pt>
                <c:pt idx="13" formatCode="General">
                  <c:v>2</c:v>
                </c:pt>
                <c:pt idx="14" formatCode="General">
                  <c:v>2</c:v>
                </c:pt>
                <c:pt idx="15" formatCode="General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2BA-49F6-9516-9EB0687F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5560"/>
        <c:axId val="461507200"/>
      </c:scatterChart>
      <c:valAx>
        <c:axId val="461505560"/>
        <c:scaling>
          <c:orientation val="minMax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1507200"/>
        <c:crosses val="autoZero"/>
        <c:crossBetween val="midCat"/>
      </c:valAx>
      <c:valAx>
        <c:axId val="461507200"/>
        <c:scaling>
          <c:orientation val="minMax"/>
          <c:max val="1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1505560"/>
        <c:crosses val="autoZero"/>
        <c:crossBetween val="midCat"/>
      </c:valAx>
    </c:plotArea>
    <c:legend>
      <c:legendPos val="b"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741846111808331E-2"/>
          <c:y val="8.7601858131330285E-2"/>
          <c:w val="0.8584548787456826"/>
          <c:h val="0.88325045118226675"/>
        </c:manualLayout>
      </c:layout>
      <c:barChart>
        <c:barDir val="col"/>
        <c:grouping val="clustered"/>
        <c:varyColors val="0"/>
        <c:ser>
          <c:idx val="0"/>
          <c:order val="0"/>
          <c:spPr>
            <a:noFill/>
            <a:ln>
              <a:solidFill>
                <a:schemeClr val="accent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'PlanFat_2x2 completo (2)'!$N$8:$S$8</c:f>
                <c:numCache>
                  <c:formatCode>General</c:formatCode>
                  <c:ptCount val="6"/>
                  <c:pt idx="0">
                    <c:v>0.20127627359229153</c:v>
                  </c:pt>
                  <c:pt idx="1">
                    <c:v>0.23601735143395411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</c:numCache>
              </c:numRef>
            </c:plus>
            <c:minus>
              <c:numRef>
                <c:f>'PlanFat_2x2 completo (2)'!$N$8:$S$8</c:f>
                <c:numCache>
                  <c:formatCode>General</c:formatCode>
                  <c:ptCount val="6"/>
                  <c:pt idx="0">
                    <c:v>0.20127627359229153</c:v>
                  </c:pt>
                  <c:pt idx="1">
                    <c:v>0.23601735143395411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'PlanFat_2x2 completo (2)'!$N$6:$S$6</c:f>
              <c:strCache>
                <c:ptCount val="6"/>
                <c:pt idx="0">
                  <c:v>B</c:v>
                </c:pt>
                <c:pt idx="1">
                  <c:v>CONSTANTE</c:v>
                </c:pt>
                <c:pt idx="2">
                  <c:v>.</c:v>
                </c:pt>
                <c:pt idx="3">
                  <c:v>.</c:v>
                </c:pt>
                <c:pt idx="4">
                  <c:v>.</c:v>
                </c:pt>
                <c:pt idx="5">
                  <c:v>.</c:v>
                </c:pt>
              </c:strCache>
            </c:strRef>
          </c:cat>
          <c:val>
            <c:numRef>
              <c:f>'PlanFat_2x2 completo (2)'!$N$7:$S$7</c:f>
              <c:numCache>
                <c:formatCode>0.0000</c:formatCode>
                <c:ptCount val="6"/>
                <c:pt idx="0">
                  <c:v>-0.84261004590636179</c:v>
                </c:pt>
                <c:pt idx="1">
                  <c:v>2.6034144765498208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0.0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5C-48AD-B3C2-0DB142B29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8267552"/>
        <c:axId val="478259680"/>
      </c:barChart>
      <c:catAx>
        <c:axId val="47826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8259680"/>
        <c:crosses val="autoZero"/>
        <c:auto val="1"/>
        <c:lblAlgn val="ctr"/>
        <c:lblOffset val="100"/>
        <c:noMultiLvlLbl val="0"/>
      </c:catAx>
      <c:valAx>
        <c:axId val="4782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826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Resíduo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'PlanFat_2x2 completo (2)'!$H$22:$H$38</c:f>
              <c:numCache>
                <c:formatCode>0.0000</c:formatCode>
                <c:ptCount val="17"/>
                <c:pt idx="0">
                  <c:v>0.45057163986936111</c:v>
                </c:pt>
                <c:pt idx="1">
                  <c:v>-0.76479814745618269</c:v>
                </c:pt>
                <c:pt idx="2">
                  <c:v>-7.6271305643459408E-2</c:v>
                </c:pt>
                <c:pt idx="3">
                  <c:v>0.1898546735232074</c:v>
                </c:pt>
                <c:pt idx="4">
                  <c:v>0.25172547754381558</c:v>
                </c:pt>
                <c:pt idx="5">
                  <c:v>0.81313656935654066</c:v>
                </c:pt>
                <c:pt idx="6">
                  <c:v>5.3975477543817263E-2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345-45FC-AE64-E3BFE258E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151224"/>
        <c:axId val="477148600"/>
      </c:scatterChart>
      <c:valAx>
        <c:axId val="477151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48600"/>
        <c:crosses val="autoZero"/>
        <c:crossBetween val="midCat"/>
      </c:valAx>
      <c:valAx>
        <c:axId val="477148600"/>
        <c:scaling>
          <c:orientation val="minMax"/>
          <c:min val="-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51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Resíduo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'PlanFat_2x2 completo (2)'!$C$22:$C$37</c:f>
              <c:numCache>
                <c:formatCode>0.0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-1</c:v>
                </c:pt>
                <c:pt idx="4">
                  <c:v>-1</c:v>
                </c:pt>
                <c:pt idx="5">
                  <c:v>1</c:v>
                </c:pt>
                <c:pt idx="6">
                  <c:v>1</c:v>
                </c:pt>
                <c:pt idx="7">
                  <c:v>-19</c:v>
                </c:pt>
                <c:pt idx="8">
                  <c:v>-19</c:v>
                </c:pt>
                <c:pt idx="10">
                  <c:v>-19</c:v>
                </c:pt>
                <c:pt idx="11">
                  <c:v>-19</c:v>
                </c:pt>
                <c:pt idx="12">
                  <c:v>-19</c:v>
                </c:pt>
                <c:pt idx="13">
                  <c:v>-19</c:v>
                </c:pt>
                <c:pt idx="14">
                  <c:v>-19</c:v>
                </c:pt>
                <c:pt idx="15">
                  <c:v>-19</c:v>
                </c:pt>
              </c:numCache>
            </c:numRef>
          </c:xVal>
          <c:yVal>
            <c:numRef>
              <c:f>'PlanFat_2x2 completo (2)'!$H$22:$H$38</c:f>
              <c:numCache>
                <c:formatCode>0.0000</c:formatCode>
                <c:ptCount val="17"/>
                <c:pt idx="0">
                  <c:v>0.45057163986936111</c:v>
                </c:pt>
                <c:pt idx="1">
                  <c:v>-0.76479814745618269</c:v>
                </c:pt>
                <c:pt idx="2">
                  <c:v>-7.6271305643459408E-2</c:v>
                </c:pt>
                <c:pt idx="3">
                  <c:v>0.1898546735232074</c:v>
                </c:pt>
                <c:pt idx="4">
                  <c:v>0.25172547754381558</c:v>
                </c:pt>
                <c:pt idx="5">
                  <c:v>0.81313656935654066</c:v>
                </c:pt>
                <c:pt idx="6">
                  <c:v>5.3975477543817263E-2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60-4C77-9D2E-4DFEE74E7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151224"/>
        <c:axId val="477148600"/>
      </c:scatterChart>
      <c:valAx>
        <c:axId val="477151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48600"/>
        <c:crosses val="autoZero"/>
        <c:crossBetween val="midCat"/>
      </c:valAx>
      <c:valAx>
        <c:axId val="477148600"/>
        <c:scaling>
          <c:orientation val="minMax"/>
          <c:min val="-5.000000000000001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51224"/>
        <c:crossesAt val="-2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2728689287654E-2"/>
          <c:y val="5.5234009536782369E-2"/>
          <c:w val="0.84274203320868557"/>
          <c:h val="0.74546559225645281"/>
        </c:manualLayout>
      </c:layout>
      <c:scatterChart>
        <c:scatterStyle val="lineMarker"/>
        <c:varyColors val="0"/>
        <c:ser>
          <c:idx val="1"/>
          <c:order val="0"/>
          <c:tx>
            <c:strRef>
              <c:f>'PlanFat_2x2 completo'!$H$1</c:f>
              <c:strCache>
                <c:ptCount val="1"/>
                <c:pt idx="0">
                  <c:v>Projeto Experimentos</c:v>
                </c:pt>
              </c:strCache>
            </c:strRef>
          </c:tx>
          <c:spPr>
            <a:ln w="28575">
              <a:noFill/>
            </a:ln>
          </c:spPr>
          <c:xVal>
            <c:numRef>
              <c:f>'PlanFat_2x2 completo'!$H$4:$H$12</c:f>
              <c:numCache>
                <c:formatCode>0.0</c:formatCode>
                <c:ptCount val="9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xVal>
          <c:yVal>
            <c:numRef>
              <c:f>'PlanFat_2x2 completo'!$I$4:$I$12</c:f>
              <c:numCache>
                <c:formatCode>0.0</c:formatCode>
                <c:ptCount val="9"/>
                <c:pt idx="0">
                  <c:v>-1</c:v>
                </c:pt>
                <c:pt idx="1">
                  <c:v>1</c:v>
                </c:pt>
                <c:pt idx="2">
                  <c:v>-1</c:v>
                </c:pt>
                <c:pt idx="3">
                  <c:v>1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BEA-4438-96B7-109852C7E99B}"/>
            </c:ext>
          </c:extLst>
        </c:ser>
        <c:ser>
          <c:idx val="0"/>
          <c:order val="1"/>
          <c:tx>
            <c:strRef>
              <c:f>'PlanFat_2x2 completo'!$C$19</c:f>
              <c:strCache>
                <c:ptCount val="1"/>
                <c:pt idx="0">
                  <c:v>Codes EXP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'PlanFat_2x2 completo'!$C$22:$C$38</c:f>
              <c:numCache>
                <c:formatCode>0.0</c:formatCode>
                <c:ptCount val="17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-1</c:v>
                </c:pt>
                <c:pt idx="4">
                  <c:v>-1</c:v>
                </c:pt>
                <c:pt idx="5">
                  <c:v>1</c:v>
                </c:pt>
                <c:pt idx="6">
                  <c:v>1</c:v>
                </c:pt>
                <c:pt idx="7">
                  <c:v>-19</c:v>
                </c:pt>
                <c:pt idx="8">
                  <c:v>-19</c:v>
                </c:pt>
                <c:pt idx="10">
                  <c:v>-19</c:v>
                </c:pt>
                <c:pt idx="11">
                  <c:v>-19</c:v>
                </c:pt>
                <c:pt idx="12">
                  <c:v>-19</c:v>
                </c:pt>
                <c:pt idx="13">
                  <c:v>-19</c:v>
                </c:pt>
                <c:pt idx="14">
                  <c:v>-19</c:v>
                </c:pt>
                <c:pt idx="15">
                  <c:v>-19</c:v>
                </c:pt>
              </c:numCache>
            </c:numRef>
          </c:xVal>
          <c:yVal>
            <c:numRef>
              <c:f>'PlanFat_2x2 completo'!$D$22:$D$38</c:f>
              <c:numCache>
                <c:formatCode>0.0</c:formatCode>
                <c:ptCount val="17"/>
                <c:pt idx="0">
                  <c:v>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1</c:v>
                </c:pt>
                <c:pt idx="6">
                  <c:v>-1</c:v>
                </c:pt>
                <c:pt idx="7">
                  <c:v>2</c:v>
                </c:pt>
                <c:pt idx="8">
                  <c:v>2</c:v>
                </c:pt>
                <c:pt idx="10" formatCode="General">
                  <c:v>2</c:v>
                </c:pt>
                <c:pt idx="11" formatCode="General">
                  <c:v>2</c:v>
                </c:pt>
                <c:pt idx="12" formatCode="General">
                  <c:v>2</c:v>
                </c:pt>
                <c:pt idx="13" formatCode="General">
                  <c:v>2</c:v>
                </c:pt>
                <c:pt idx="14" formatCode="General">
                  <c:v>2</c:v>
                </c:pt>
                <c:pt idx="15" formatCode="General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BEA-4438-96B7-109852C7E9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1505560"/>
        <c:axId val="461507200"/>
      </c:scatterChart>
      <c:valAx>
        <c:axId val="461505560"/>
        <c:scaling>
          <c:orientation val="minMax"/>
          <c:min val="-1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1507200"/>
        <c:crosses val="autoZero"/>
        <c:crossBetween val="midCat"/>
      </c:valAx>
      <c:valAx>
        <c:axId val="461507200"/>
        <c:scaling>
          <c:orientation val="minMax"/>
          <c:max val="1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1505560"/>
        <c:crosses val="autoZero"/>
        <c:crossBetween val="midCat"/>
      </c:valAx>
    </c:plotArea>
    <c:legend>
      <c:legendPos val="b"/>
      <c:overlay val="0"/>
      <c:txPr>
        <a:bodyPr/>
        <a:lstStyle/>
        <a:p>
          <a:pPr>
            <a:defRPr sz="800"/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741846111808331E-2"/>
          <c:y val="8.7601858131330285E-2"/>
          <c:w val="0.8584548787456826"/>
          <c:h val="0.88325045118226675"/>
        </c:manualLayout>
      </c:layout>
      <c:barChart>
        <c:barDir val="col"/>
        <c:grouping val="clustered"/>
        <c:varyColors val="0"/>
        <c:ser>
          <c:idx val="0"/>
          <c:order val="0"/>
          <c:spPr>
            <a:noFill/>
            <a:ln>
              <a:solidFill>
                <a:schemeClr val="accent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'PlanFat_2x2 completo'!$N$8:$S$8</c:f>
                <c:numCache>
                  <c:formatCode>General</c:formatCode>
                  <c:ptCount val="6"/>
                  <c:pt idx="0">
                    <c:v>0.20127627359229153</c:v>
                  </c:pt>
                  <c:pt idx="1">
                    <c:v>0.23601735143395411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</c:numCache>
              </c:numRef>
            </c:plus>
            <c:minus>
              <c:numRef>
                <c:f>'PlanFat_2x2 completo'!$N$8:$S$8</c:f>
                <c:numCache>
                  <c:formatCode>General</c:formatCode>
                  <c:ptCount val="6"/>
                  <c:pt idx="0">
                    <c:v>0.20127627359229153</c:v>
                  </c:pt>
                  <c:pt idx="1">
                    <c:v>0.23601735143395411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'PlanFat_2x2 completo'!$N$6:$S$6</c:f>
              <c:strCache>
                <c:ptCount val="6"/>
                <c:pt idx="0">
                  <c:v>B</c:v>
                </c:pt>
                <c:pt idx="1">
                  <c:v>CONSTANTE</c:v>
                </c:pt>
                <c:pt idx="2">
                  <c:v>.</c:v>
                </c:pt>
                <c:pt idx="3">
                  <c:v>.</c:v>
                </c:pt>
                <c:pt idx="4">
                  <c:v>.</c:v>
                </c:pt>
                <c:pt idx="5">
                  <c:v>.</c:v>
                </c:pt>
              </c:strCache>
            </c:strRef>
          </c:cat>
          <c:val>
            <c:numRef>
              <c:f>'PlanFat_2x2 completo'!$N$7:$S$7</c:f>
              <c:numCache>
                <c:formatCode>0.0000</c:formatCode>
                <c:ptCount val="6"/>
                <c:pt idx="0">
                  <c:v>-0.84261004590636179</c:v>
                </c:pt>
                <c:pt idx="1">
                  <c:v>2.6034144765498208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0.0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A8-495E-A7E0-96AAC47197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8267552"/>
        <c:axId val="478259680"/>
      </c:barChart>
      <c:catAx>
        <c:axId val="47826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8259680"/>
        <c:crosses val="autoZero"/>
        <c:auto val="1"/>
        <c:lblAlgn val="ctr"/>
        <c:lblOffset val="100"/>
        <c:noMultiLvlLbl val="0"/>
      </c:catAx>
      <c:valAx>
        <c:axId val="4782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826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Resíduo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'PlanFat_2x2 completo'!$H$22:$H$38</c:f>
              <c:numCache>
                <c:formatCode>0.0000</c:formatCode>
                <c:ptCount val="17"/>
                <c:pt idx="0">
                  <c:v>0.45057163986936111</c:v>
                </c:pt>
                <c:pt idx="1">
                  <c:v>-0.76479814745618269</c:v>
                </c:pt>
                <c:pt idx="2">
                  <c:v>-7.6271305643459408E-2</c:v>
                </c:pt>
                <c:pt idx="3">
                  <c:v>0.1898546735232074</c:v>
                </c:pt>
                <c:pt idx="4">
                  <c:v>0.25172547754381558</c:v>
                </c:pt>
                <c:pt idx="5">
                  <c:v>0.81313656935654066</c:v>
                </c:pt>
                <c:pt idx="6">
                  <c:v>5.3975477543817263E-2</c:v>
                </c:pt>
                <c:pt idx="7">
                  <c:v>-0.91819438473709725</c:v>
                </c:pt>
                <c:pt idx="8">
                  <c:v>-0.91819438473709725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73-4B69-BED3-45414791D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151224"/>
        <c:axId val="477148600"/>
      </c:scatterChart>
      <c:valAx>
        <c:axId val="477151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48600"/>
        <c:crosses val="autoZero"/>
        <c:crossBetween val="midCat"/>
      </c:valAx>
      <c:valAx>
        <c:axId val="477148600"/>
        <c:scaling>
          <c:orientation val="minMax"/>
          <c:min val="-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51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Resíduo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'PlanFat_2x2 completo'!$C$22:$C$37</c:f>
              <c:numCache>
                <c:formatCode>0.0</c:formatCode>
                <c:ptCount val="16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-1</c:v>
                </c:pt>
                <c:pt idx="4">
                  <c:v>-1</c:v>
                </c:pt>
                <c:pt idx="5">
                  <c:v>1</c:v>
                </c:pt>
                <c:pt idx="6">
                  <c:v>1</c:v>
                </c:pt>
                <c:pt idx="7">
                  <c:v>-19</c:v>
                </c:pt>
                <c:pt idx="8">
                  <c:v>-19</c:v>
                </c:pt>
                <c:pt idx="10">
                  <c:v>-19</c:v>
                </c:pt>
                <c:pt idx="11">
                  <c:v>-19</c:v>
                </c:pt>
                <c:pt idx="12">
                  <c:v>-19</c:v>
                </c:pt>
                <c:pt idx="13">
                  <c:v>-19</c:v>
                </c:pt>
                <c:pt idx="14">
                  <c:v>-19</c:v>
                </c:pt>
                <c:pt idx="15">
                  <c:v>-19</c:v>
                </c:pt>
              </c:numCache>
            </c:numRef>
          </c:xVal>
          <c:yVal>
            <c:numRef>
              <c:f>'PlanFat_2x2 completo'!$H$22:$H$38</c:f>
              <c:numCache>
                <c:formatCode>0.0000</c:formatCode>
                <c:ptCount val="17"/>
                <c:pt idx="0">
                  <c:v>0.45057163986936111</c:v>
                </c:pt>
                <c:pt idx="1">
                  <c:v>-0.76479814745618269</c:v>
                </c:pt>
                <c:pt idx="2">
                  <c:v>-7.6271305643459408E-2</c:v>
                </c:pt>
                <c:pt idx="3">
                  <c:v>0.1898546735232074</c:v>
                </c:pt>
                <c:pt idx="4">
                  <c:v>0.25172547754381558</c:v>
                </c:pt>
                <c:pt idx="5">
                  <c:v>0.81313656935654066</c:v>
                </c:pt>
                <c:pt idx="6">
                  <c:v>5.3975477543817263E-2</c:v>
                </c:pt>
                <c:pt idx="7">
                  <c:v>-0.91819438473709725</c:v>
                </c:pt>
                <c:pt idx="8">
                  <c:v>-0.91819438473709725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1E-49B7-B5DA-6B912EA341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151224"/>
        <c:axId val="477148600"/>
      </c:scatterChart>
      <c:valAx>
        <c:axId val="477151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48600"/>
        <c:crosses val="autoZero"/>
        <c:crossBetween val="midCat"/>
      </c:valAx>
      <c:valAx>
        <c:axId val="477148600"/>
        <c:scaling>
          <c:orientation val="minMax"/>
          <c:min val="-5.000000000000001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77151224"/>
        <c:crossesAt val="-2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533400</xdr:colOff>
          <xdr:row>39</xdr:row>
          <xdr:rowOff>66675</xdr:rowOff>
        </xdr:from>
        <xdr:to>
          <xdr:col>7</xdr:col>
          <xdr:colOff>400050</xdr:colOff>
          <xdr:row>44</xdr:row>
          <xdr:rowOff>38100</xdr:rowOff>
        </xdr:to>
        <xdr:sp macro="" textlink="">
          <xdr:nvSpPr>
            <xdr:cNvPr id="35841" name="Object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CE12B8E8-0BB2-485C-A9B9-D75FD4C80C3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8</xdr:col>
      <xdr:colOff>13607</xdr:colOff>
      <xdr:row>12</xdr:row>
      <xdr:rowOff>36996</xdr:rowOff>
    </xdr:from>
    <xdr:to>
      <xdr:col>11</xdr:col>
      <xdr:colOff>27214</xdr:colOff>
      <xdr:row>19</xdr:row>
      <xdr:rowOff>68036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3265E5-9C38-443D-87A5-1AC23EC90A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244929</xdr:colOff>
      <xdr:row>16</xdr:row>
      <xdr:rowOff>120196</xdr:rowOff>
    </xdr:from>
    <xdr:to>
      <xdr:col>17</xdr:col>
      <xdr:colOff>217715</xdr:colOff>
      <xdr:row>29</xdr:row>
      <xdr:rowOff>40822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4BE49ED-E58D-4608-A1C0-4221C30BBA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386101</xdr:colOff>
      <xdr:row>16</xdr:row>
      <xdr:rowOff>97973</xdr:rowOff>
    </xdr:from>
    <xdr:to>
      <xdr:col>22</xdr:col>
      <xdr:colOff>442232</xdr:colOff>
      <xdr:row>30</xdr:row>
      <xdr:rowOff>112372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D0663DF-27A1-46AB-94E2-D2397E4D4B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16</xdr:row>
      <xdr:rowOff>0</xdr:rowOff>
    </xdr:from>
    <xdr:to>
      <xdr:col>28</xdr:col>
      <xdr:colOff>56131</xdr:colOff>
      <xdr:row>30</xdr:row>
      <xdr:rowOff>14399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C36F04E-AA2C-4E32-9FBE-0E3BAE0D47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533400</xdr:colOff>
          <xdr:row>39</xdr:row>
          <xdr:rowOff>66675</xdr:rowOff>
        </xdr:from>
        <xdr:to>
          <xdr:col>7</xdr:col>
          <xdr:colOff>400050</xdr:colOff>
          <xdr:row>44</xdr:row>
          <xdr:rowOff>38100</xdr:rowOff>
        </xdr:to>
        <xdr:sp macro="" textlink="">
          <xdr:nvSpPr>
            <xdr:cNvPr id="34817" name="Object 1" hidden="1">
              <a:extLst>
                <a:ext uri="{63B3BB69-23CF-44E3-9099-C40C66FF867C}">
                  <a14:compatExt spid="_x0000_s34817"/>
                </a:ext>
                <a:ext uri="{FF2B5EF4-FFF2-40B4-BE49-F238E27FC236}">
                  <a16:creationId xmlns:a16="http://schemas.microsoft.com/office/drawing/2014/main" id="{00000000-0008-0000-0000-0000018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8</xdr:col>
      <xdr:colOff>13607</xdr:colOff>
      <xdr:row>12</xdr:row>
      <xdr:rowOff>36996</xdr:rowOff>
    </xdr:from>
    <xdr:to>
      <xdr:col>11</xdr:col>
      <xdr:colOff>27214</xdr:colOff>
      <xdr:row>19</xdr:row>
      <xdr:rowOff>68036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244929</xdr:colOff>
      <xdr:row>16</xdr:row>
      <xdr:rowOff>120196</xdr:rowOff>
    </xdr:from>
    <xdr:to>
      <xdr:col>17</xdr:col>
      <xdr:colOff>217715</xdr:colOff>
      <xdr:row>29</xdr:row>
      <xdr:rowOff>40822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386101</xdr:colOff>
      <xdr:row>16</xdr:row>
      <xdr:rowOff>97973</xdr:rowOff>
    </xdr:from>
    <xdr:to>
      <xdr:col>22</xdr:col>
      <xdr:colOff>442232</xdr:colOff>
      <xdr:row>30</xdr:row>
      <xdr:rowOff>112372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16</xdr:row>
      <xdr:rowOff>0</xdr:rowOff>
    </xdr:from>
    <xdr:to>
      <xdr:col>28</xdr:col>
      <xdr:colOff>56131</xdr:colOff>
      <xdr:row>30</xdr:row>
      <xdr:rowOff>14399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59863-17EE-4FB1-8527-4B819B1050EF}">
  <dimension ref="A1:AEM45"/>
  <sheetViews>
    <sheetView zoomScale="70" zoomScaleNormal="70" workbookViewId="0">
      <selection activeCell="E1" sqref="E1"/>
    </sheetView>
  </sheetViews>
  <sheetFormatPr defaultRowHeight="15" x14ac:dyDescent="0.25"/>
  <cols>
    <col min="1" max="1" width="8" style="1" customWidth="1"/>
    <col min="2" max="2" width="11.5703125" style="1" customWidth="1"/>
    <col min="3" max="3" width="12.42578125" style="1" customWidth="1"/>
    <col min="4" max="4" width="12.85546875" style="1" customWidth="1"/>
    <col min="5" max="5" width="11.28515625" style="1" customWidth="1"/>
    <col min="6" max="6" width="10.7109375" style="1" customWidth="1"/>
    <col min="7" max="8" width="11.42578125" style="1" bestFit="1" customWidth="1"/>
    <col min="9" max="9" width="10.42578125" style="1" customWidth="1"/>
    <col min="10" max="10" width="10" style="1" customWidth="1"/>
    <col min="11" max="11" width="11.7109375" style="1" customWidth="1"/>
    <col min="12" max="15" width="11.42578125" style="1" bestFit="1" customWidth="1"/>
    <col min="16" max="16" width="10.85546875" style="1" customWidth="1"/>
    <col min="17" max="17" width="10.42578125" style="1" customWidth="1"/>
    <col min="18" max="33" width="11.42578125" style="1" bestFit="1" customWidth="1"/>
    <col min="34" max="41" width="9.140625" style="1"/>
    <col min="42" max="54" width="9.140625" style="1" customWidth="1"/>
    <col min="55" max="16384" width="9.140625" style="1"/>
  </cols>
  <sheetData>
    <row r="1" spans="2:819" ht="27.75" thickBot="1" x14ac:dyDescent="0.4">
      <c r="B1" s="148" t="s">
        <v>53</v>
      </c>
      <c r="H1" s="135" t="s">
        <v>24</v>
      </c>
      <c r="M1" s="147" t="s">
        <v>54</v>
      </c>
      <c r="N1" s="2"/>
      <c r="O1" s="2"/>
      <c r="P1" s="2"/>
      <c r="Q1" s="2"/>
      <c r="R1" s="2"/>
      <c r="S1" s="161" t="s">
        <v>56</v>
      </c>
      <c r="T1" s="2"/>
      <c r="U1" s="2"/>
      <c r="V1" s="2"/>
      <c r="AO1" s="2"/>
      <c r="ADZ1" s="26"/>
      <c r="AEA1" s="26"/>
      <c r="AEB1" s="26"/>
      <c r="AEC1" s="26"/>
      <c r="AED1" s="26"/>
      <c r="AEE1" s="26"/>
      <c r="AEF1" s="26"/>
      <c r="AEG1" s="26"/>
      <c r="AEH1" s="26"/>
      <c r="AEI1" s="26"/>
      <c r="AEJ1" s="26"/>
      <c r="AEK1" s="26"/>
      <c r="AEL1" s="26"/>
      <c r="AEM1" s="26"/>
    </row>
    <row r="2" spans="2:819" ht="15.75" x14ac:dyDescent="0.25">
      <c r="C2" s="196" t="s">
        <v>0</v>
      </c>
      <c r="D2" s="197"/>
      <c r="E2" s="196" t="s">
        <v>12</v>
      </c>
      <c r="F2" s="197"/>
      <c r="G2" s="55"/>
      <c r="H2" s="48" t="str">
        <f>C3</f>
        <v>homogeneização</v>
      </c>
      <c r="I2" s="49" t="str">
        <f>E3</f>
        <v>tempo</v>
      </c>
      <c r="J2" s="194" t="s">
        <v>2</v>
      </c>
      <c r="K2" s="195"/>
      <c r="M2" s="56" t="s">
        <v>25</v>
      </c>
      <c r="N2" s="146">
        <f>BG10</f>
        <v>0.74495658485094285</v>
      </c>
      <c r="O2" s="57"/>
      <c r="P2" s="58" t="s">
        <v>26</v>
      </c>
      <c r="Q2" s="59">
        <f>_xlfn.T.INV.2T(0.05,Q4)</f>
        <v>2.4469118511449697</v>
      </c>
      <c r="R2" s="2"/>
      <c r="S2" s="159" t="s">
        <v>37</v>
      </c>
      <c r="T2" s="25">
        <v>1</v>
      </c>
      <c r="AO2" s="2"/>
      <c r="AP2" s="2"/>
      <c r="AQ2" s="2">
        <f>MATCH(N$15,$M$15:$Q$15,0)</f>
        <v>2</v>
      </c>
      <c r="AR2" s="2"/>
      <c r="AS2" s="2"/>
      <c r="AT2" s="2"/>
      <c r="AU2" s="2"/>
      <c r="AV2" s="2"/>
      <c r="AW2" s="2"/>
      <c r="AX2" s="2"/>
      <c r="AY2" s="2"/>
      <c r="AZ2" s="2"/>
      <c r="BA2" s="2"/>
      <c r="BB2" s="94"/>
      <c r="BC2" s="94"/>
      <c r="BD2" s="26"/>
      <c r="BE2" s="26"/>
      <c r="BP2" s="75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</row>
    <row r="3" spans="2:819" ht="15" customHeight="1" thickBot="1" x14ac:dyDescent="0.3">
      <c r="C3" s="198" t="s">
        <v>22</v>
      </c>
      <c r="D3" s="199"/>
      <c r="E3" s="198" t="s">
        <v>23</v>
      </c>
      <c r="F3" s="199"/>
      <c r="G3" s="54"/>
      <c r="H3" s="126" t="s">
        <v>6</v>
      </c>
      <c r="I3" s="127" t="s">
        <v>7</v>
      </c>
      <c r="J3" s="133" t="str">
        <f>C3</f>
        <v>homogeneização</v>
      </c>
      <c r="K3" s="128" t="str">
        <f>E3</f>
        <v>tempo</v>
      </c>
      <c r="M3" s="60" t="s">
        <v>27</v>
      </c>
      <c r="N3" s="85">
        <f>1-((Q3-1)/(Q4-1))*(1-N2)</f>
        <v>0.64293921879131999</v>
      </c>
      <c r="O3" s="2"/>
      <c r="P3" s="61" t="s">
        <v>16</v>
      </c>
      <c r="Q3" s="16">
        <f>Q4+COUNT(N8:T8)</f>
        <v>8</v>
      </c>
      <c r="R3" s="2"/>
      <c r="S3" s="160" t="s">
        <v>39</v>
      </c>
      <c r="T3" s="169">
        <v>8</v>
      </c>
      <c r="AO3" s="2"/>
      <c r="AP3" s="2"/>
      <c r="AQ3" s="2"/>
      <c r="AR3" s="2"/>
      <c r="AT3" s="2"/>
      <c r="AU3" s="2"/>
      <c r="AV3" s="2"/>
      <c r="AW3" s="2"/>
      <c r="AX3" s="2"/>
      <c r="AY3" s="2"/>
      <c r="BA3" s="2"/>
      <c r="BB3" s="94"/>
      <c r="BC3" s="94"/>
      <c r="BD3" s="26"/>
      <c r="BE3" s="26"/>
      <c r="BG3" s="1">
        <v>1</v>
      </c>
      <c r="BH3" s="1">
        <v>2</v>
      </c>
      <c r="BI3" s="1">
        <v>3</v>
      </c>
      <c r="BJ3" s="1">
        <v>4</v>
      </c>
      <c r="BK3" s="1">
        <v>5</v>
      </c>
      <c r="BP3" s="75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</row>
    <row r="4" spans="2:819" x14ac:dyDescent="0.25">
      <c r="B4" s="6" t="s">
        <v>49</v>
      </c>
      <c r="C4" s="7"/>
      <c r="D4" s="8">
        <v>9</v>
      </c>
      <c r="E4" s="9"/>
      <c r="F4" s="8">
        <v>500</v>
      </c>
      <c r="G4" s="2"/>
      <c r="H4" s="129">
        <v>-1</v>
      </c>
      <c r="I4" s="185">
        <v>-1</v>
      </c>
      <c r="J4" s="134">
        <f t="shared" ref="J4:J10" si="0">$D$9+$C$9*H4</f>
        <v>9</v>
      </c>
      <c r="K4" s="130">
        <f t="shared" ref="K4:K10" si="1">$F$9+$E$9*I4</f>
        <v>1500</v>
      </c>
      <c r="M4" s="60" t="s">
        <v>28</v>
      </c>
      <c r="N4" s="62">
        <f>-LOG(1-N3)</f>
        <v>0.44725784916322436</v>
      </c>
      <c r="O4" s="2"/>
      <c r="P4" s="61" t="s">
        <v>17</v>
      </c>
      <c r="Q4" s="16">
        <f>BH11</f>
        <v>6</v>
      </c>
      <c r="R4" s="2"/>
      <c r="S4" s="170" t="s">
        <v>38</v>
      </c>
      <c r="T4" s="171">
        <v>1</v>
      </c>
      <c r="U4" s="2"/>
      <c r="V4" s="2"/>
      <c r="AO4" s="2"/>
      <c r="AP4" s="54"/>
      <c r="AZ4" s="54"/>
      <c r="BA4" s="2"/>
      <c r="BB4" s="95"/>
      <c r="BC4" s="95"/>
      <c r="BD4" s="26"/>
      <c r="BE4" s="26"/>
      <c r="BG4" s="26"/>
      <c r="BH4" s="26"/>
      <c r="BI4" s="26"/>
      <c r="BJ4" s="26"/>
      <c r="BK4" s="26"/>
      <c r="BL4" s="26"/>
      <c r="BM4" s="26"/>
      <c r="BP4" s="75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</row>
    <row r="5" spans="2:819" ht="15.75" thickBot="1" x14ac:dyDescent="0.3">
      <c r="B5" s="10" t="s">
        <v>48</v>
      </c>
      <c r="C5" s="11"/>
      <c r="D5" s="12">
        <v>10</v>
      </c>
      <c r="E5" s="13"/>
      <c r="F5" s="12">
        <v>1500</v>
      </c>
      <c r="G5" s="2"/>
      <c r="H5" s="50">
        <v>-1</v>
      </c>
      <c r="I5" s="186">
        <v>1</v>
      </c>
      <c r="J5" s="46">
        <f t="shared" si="0"/>
        <v>9</v>
      </c>
      <c r="K5" s="131">
        <f t="shared" si="1"/>
        <v>500</v>
      </c>
      <c r="M5" s="63" t="s">
        <v>29</v>
      </c>
      <c r="N5" s="64">
        <f>BH10</f>
        <v>0.63250088207297395</v>
      </c>
      <c r="O5" s="65"/>
      <c r="P5" s="65"/>
      <c r="Q5" s="66"/>
      <c r="R5" s="2"/>
      <c r="S5" s="172" t="s">
        <v>40</v>
      </c>
      <c r="T5" s="173">
        <f>IF(BF27=4,BF28-1,BF28)</f>
        <v>1</v>
      </c>
      <c r="U5" s="2"/>
      <c r="V5" s="2"/>
      <c r="AO5" s="2"/>
      <c r="AP5" s="2"/>
      <c r="AZ5" s="2"/>
      <c r="BF5" s="27"/>
      <c r="BG5" s="33"/>
      <c r="BH5" s="33"/>
      <c r="BI5" s="33"/>
      <c r="BJ5" s="33"/>
      <c r="BK5" s="33"/>
      <c r="BL5" s="33"/>
      <c r="BM5" s="106"/>
      <c r="BN5" s="106"/>
      <c r="BO5" s="106"/>
      <c r="BP5" s="2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</row>
    <row r="6" spans="2:819" ht="15.75" thickBot="1" x14ac:dyDescent="0.3">
      <c r="B6" s="14" t="s">
        <v>51</v>
      </c>
      <c r="C6" s="15"/>
      <c r="D6" s="16">
        <v>-1</v>
      </c>
      <c r="E6" s="17"/>
      <c r="F6" s="16">
        <f>MAX(E11:E18)</f>
        <v>1</v>
      </c>
      <c r="G6" s="2"/>
      <c r="H6" s="50">
        <v>1</v>
      </c>
      <c r="I6" s="186">
        <v>-1</v>
      </c>
      <c r="J6" s="46">
        <f t="shared" si="0"/>
        <v>10</v>
      </c>
      <c r="K6" s="131">
        <f t="shared" si="1"/>
        <v>1500</v>
      </c>
      <c r="M6" s="153"/>
      <c r="N6" s="67" t="str">
        <f t="shared" ref="N6:S6" si="2">BG7</f>
        <v>B</v>
      </c>
      <c r="O6" s="67" t="str">
        <f t="shared" si="2"/>
        <v>CONSTANTE</v>
      </c>
      <c r="P6" s="67" t="str">
        <f t="shared" si="2"/>
        <v>.</v>
      </c>
      <c r="Q6" s="67" t="str">
        <f t="shared" si="2"/>
        <v>.</v>
      </c>
      <c r="R6" s="67" t="str">
        <f t="shared" si="2"/>
        <v>.</v>
      </c>
      <c r="S6" s="154" t="str">
        <f t="shared" si="2"/>
        <v>.</v>
      </c>
      <c r="T6" s="2"/>
      <c r="U6" s="2"/>
      <c r="V6" s="2"/>
      <c r="AO6" s="2"/>
      <c r="AP6" s="76"/>
      <c r="AZ6" s="104"/>
      <c r="BF6" s="27"/>
      <c r="BG6" s="33"/>
      <c r="BH6" s="33"/>
      <c r="BI6" s="33"/>
      <c r="BJ6" s="33"/>
      <c r="BK6" s="33"/>
      <c r="BL6" s="33"/>
      <c r="BM6" s="100"/>
      <c r="BN6" s="100"/>
      <c r="BO6" s="100"/>
      <c r="BP6" s="107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</row>
    <row r="7" spans="2:819" ht="15.75" customHeight="1" thickBot="1" x14ac:dyDescent="0.35">
      <c r="B7" s="10" t="s">
        <v>50</v>
      </c>
      <c r="C7" s="15"/>
      <c r="D7" s="16">
        <v>1</v>
      </c>
      <c r="E7" s="17"/>
      <c r="F7" s="16">
        <f>MIN(E11:E18)</f>
        <v>-1</v>
      </c>
      <c r="G7" s="2"/>
      <c r="H7" s="50">
        <v>1</v>
      </c>
      <c r="I7" s="186">
        <v>1</v>
      </c>
      <c r="J7" s="46">
        <f t="shared" si="0"/>
        <v>10</v>
      </c>
      <c r="K7" s="131">
        <f t="shared" si="1"/>
        <v>500</v>
      </c>
      <c r="M7" s="180" t="s">
        <v>30</v>
      </c>
      <c r="N7" s="181">
        <f t="shared" ref="N7:S8" si="3">IFERROR(INDEX($BG8:$BL8,MATCH(BG$19,$BG$19:$BL$19,0)),".")</f>
        <v>-0.84261004590636179</v>
      </c>
      <c r="O7" s="182">
        <f t="shared" si="3"/>
        <v>2.6034144765498208</v>
      </c>
      <c r="P7" s="182" t="str">
        <f t="shared" si="3"/>
        <v>.</v>
      </c>
      <c r="Q7" s="182" t="str">
        <f t="shared" si="3"/>
        <v>.</v>
      </c>
      <c r="R7" s="183" t="str">
        <f t="shared" si="3"/>
        <v>.</v>
      </c>
      <c r="S7" s="184" t="str">
        <f t="shared" si="3"/>
        <v>.</v>
      </c>
      <c r="T7" s="102"/>
      <c r="U7" s="102"/>
      <c r="V7" s="102"/>
      <c r="AO7" s="26"/>
      <c r="AP7" s="79"/>
      <c r="AZ7" s="79"/>
      <c r="BC7" s="2"/>
      <c r="BD7" s="79"/>
      <c r="BE7" s="79"/>
      <c r="BG7" s="108" t="str">
        <f>IFERROR(INDEX($M$16:$R$16,,INDEX($BG$19:$BL$19,,$BF$26)),".")</f>
        <v>B</v>
      </c>
      <c r="BH7" s="108" t="str">
        <f>IFERROR(INDEX($M$16:$R$16,,INDEX($BG$19:$BL$19,,$BF$26-1)),".")</f>
        <v>CONSTANTE</v>
      </c>
      <c r="BI7" s="108" t="str">
        <f>IFERROR(INDEX($M$16:$R$16,,INDEX($BG$19:$BL$19,,$BF$26-2)),".")</f>
        <v>.</v>
      </c>
      <c r="BJ7" s="108" t="str">
        <f>IFERROR(INDEX($M$16:$R$16,,INDEX($BG$19:$BL$19,,$BF$26-3)),".")</f>
        <v>.</v>
      </c>
      <c r="BK7" s="108" t="str">
        <f>IFERROR(INDEX($M$16:$R$16,,INDEX($BG$19:$BL$19,,$BF$26-4)),".")</f>
        <v>.</v>
      </c>
      <c r="BL7" s="108" t="str">
        <f>IFERROR(INDEX($M$16:$R$16,,INDEX($BG$19:$BL$19,,$BF$26-5)),".")</f>
        <v>.</v>
      </c>
      <c r="BM7" s="54"/>
      <c r="BN7" s="54"/>
      <c r="BO7" s="104" t="s">
        <v>4</v>
      </c>
      <c r="BP7" s="164" t="s">
        <v>6</v>
      </c>
      <c r="BQ7" s="165" t="s">
        <v>7</v>
      </c>
      <c r="BR7" s="166" t="s">
        <v>8</v>
      </c>
      <c r="BS7" s="167"/>
      <c r="BT7" s="167"/>
      <c r="BU7" s="175" t="s">
        <v>35</v>
      </c>
      <c r="BV7" s="176" t="s">
        <v>36</v>
      </c>
      <c r="BW7" s="177" t="s">
        <v>13</v>
      </c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</row>
    <row r="8" spans="2:819" ht="18.75" x14ac:dyDescent="0.3">
      <c r="C8" s="119" t="s">
        <v>46</v>
      </c>
      <c r="D8" s="124" t="s">
        <v>47</v>
      </c>
      <c r="E8" s="119" t="s">
        <v>46</v>
      </c>
      <c r="F8" s="120" t="s">
        <v>47</v>
      </c>
      <c r="G8" s="2"/>
      <c r="H8" s="50">
        <v>0</v>
      </c>
      <c r="I8" s="118">
        <v>0</v>
      </c>
      <c r="J8" s="46">
        <f t="shared" si="0"/>
        <v>9.5</v>
      </c>
      <c r="K8" s="131">
        <f t="shared" si="1"/>
        <v>1000</v>
      </c>
      <c r="M8" s="68" t="s">
        <v>31</v>
      </c>
      <c r="N8" s="162">
        <f t="shared" si="3"/>
        <v>0.20127627359229153</v>
      </c>
      <c r="O8" s="163">
        <f t="shared" si="3"/>
        <v>0.23601735143395411</v>
      </c>
      <c r="P8" s="163" t="str">
        <f t="shared" si="3"/>
        <v>.</v>
      </c>
      <c r="Q8" s="163" t="str">
        <f t="shared" si="3"/>
        <v>.</v>
      </c>
      <c r="R8" s="2" t="str">
        <f t="shared" si="3"/>
        <v>.</v>
      </c>
      <c r="S8" s="16" t="str">
        <f t="shared" si="3"/>
        <v>.</v>
      </c>
      <c r="T8" s="103"/>
      <c r="U8" s="103"/>
      <c r="V8" s="103"/>
      <c r="AO8" s="26"/>
      <c r="AP8" s="2"/>
      <c r="AZ8" s="79"/>
      <c r="BC8" s="2"/>
      <c r="BD8" s="2"/>
      <c r="BE8" s="2"/>
      <c r="BG8" s="81">
        <f t="array" ref="BG8:BL12">LINEST((INDEX(BM20:BM34,T2):INDEX(BM20:BM34,T3)),(INDEX(BG20:BM34,T2,T4):INDEX(BG20:BM34,T3,T5)),P15,1)</f>
        <v>-0.84261004590636179</v>
      </c>
      <c r="BH8" s="82">
        <v>2.6034144765498208</v>
      </c>
      <c r="BI8" s="82" t="e">
        <v>#N/A</v>
      </c>
      <c r="BJ8" s="82" t="e">
        <v>#N/A</v>
      </c>
      <c r="BK8" s="82" t="e">
        <v>#N/A</v>
      </c>
      <c r="BL8" s="83" t="e">
        <v>#N/A</v>
      </c>
      <c r="BM8" s="105"/>
      <c r="BN8" s="105"/>
      <c r="BO8" s="149">
        <f t="shared" ref="BO8:BO23" si="4">B22</f>
        <v>1</v>
      </c>
      <c r="BP8" s="91">
        <f t="shared" ref="BP8:BP23" si="5">$C22*M$15</f>
        <v>0</v>
      </c>
      <c r="BQ8" s="91">
        <f t="shared" ref="BQ8:BQ23" si="6">$D22*N$15</f>
        <v>1</v>
      </c>
      <c r="BR8" s="91">
        <f t="shared" ref="BR8:BR23" si="7">$C22*$D22*O$15</f>
        <v>0</v>
      </c>
      <c r="BS8" s="91"/>
      <c r="BT8" s="91"/>
      <c r="BU8" s="93"/>
      <c r="BV8" s="145">
        <f t="shared" ref="BV8:BV23" si="8">G22</f>
        <v>2.21137607051282</v>
      </c>
      <c r="BW8" s="79" t="e">
        <f>BM20-(SUMPRODUCT(BG20:INDEX($BG20:$BK20,$BF$26),$BG$5:INDEX($BG$5:$BK$5,$BF$26))+IF($BF$27=6,INDEX($BG$5:$BL$5,$BF$26+1),0))</f>
        <v>#VALUE!</v>
      </c>
      <c r="ADZ8" s="26"/>
      <c r="AEA8" s="26"/>
      <c r="AEB8" s="26"/>
      <c r="AEC8" s="26"/>
      <c r="AED8" s="26"/>
      <c r="AEE8" s="26"/>
      <c r="AEF8" s="150"/>
      <c r="AEG8" s="150"/>
      <c r="AEH8" s="26"/>
      <c r="AEI8" s="26"/>
      <c r="AEJ8" s="151"/>
      <c r="AEK8" s="26"/>
      <c r="AEL8" s="26"/>
      <c r="AEM8" s="26"/>
    </row>
    <row r="9" spans="2:819" ht="15.75" thickBot="1" x14ac:dyDescent="0.3">
      <c r="B9" s="2" t="s">
        <v>52</v>
      </c>
      <c r="C9" s="121">
        <f>SLOPE(D4:D5,D6:D7)</f>
        <v>0.5</v>
      </c>
      <c r="D9" s="122">
        <f>INTERCEPT(D4:D5,D6:D7)</f>
        <v>9.5</v>
      </c>
      <c r="E9" s="125">
        <f>SLOPE(F4:F5,F6:F7)</f>
        <v>-500</v>
      </c>
      <c r="F9" s="123">
        <f>INTERCEPT(F4:F5,F6:F7)</f>
        <v>1000</v>
      </c>
      <c r="G9" s="2"/>
      <c r="H9" s="50">
        <v>0</v>
      </c>
      <c r="I9" s="118">
        <v>0</v>
      </c>
      <c r="J9" s="46">
        <f t="shared" si="0"/>
        <v>9.5</v>
      </c>
      <c r="K9" s="131">
        <f t="shared" si="1"/>
        <v>1000</v>
      </c>
      <c r="M9" s="18" t="s">
        <v>55</v>
      </c>
      <c r="N9" s="168">
        <f>IFERROR(_xlfn.T.DIST.2T(N10,$Q$4),".")</f>
        <v>5.7727002223754934E-3</v>
      </c>
      <c r="O9" s="178">
        <f t="shared" ref="O9:S9" si="9">IFERROR(_xlfn.T.DIST.2T(O10,$Q$4),".")</f>
        <v>3.302171795659555E-5</v>
      </c>
      <c r="P9" s="178" t="str">
        <f t="shared" si="9"/>
        <v>.</v>
      </c>
      <c r="Q9" s="178" t="str">
        <f t="shared" si="9"/>
        <v>.</v>
      </c>
      <c r="R9" s="178" t="str">
        <f t="shared" si="9"/>
        <v>.</v>
      </c>
      <c r="S9" s="179" t="str">
        <f t="shared" si="9"/>
        <v>.</v>
      </c>
      <c r="T9" s="72"/>
      <c r="U9" s="72"/>
      <c r="V9" s="2"/>
      <c r="AO9" s="2" t="str">
        <f>IFERROR(INDEX($BE9:$BN9,MATCH(BU$8,$BE$8:$BN$8,0)),".")</f>
        <v>.</v>
      </c>
      <c r="AP9" s="2"/>
      <c r="AZ9" s="79"/>
      <c r="BC9" s="2"/>
      <c r="BD9" s="2"/>
      <c r="BE9" s="2"/>
      <c r="BG9" s="22">
        <v>0.20127627359229153</v>
      </c>
      <c r="BH9" s="84">
        <v>0.23601735143395411</v>
      </c>
      <c r="BI9" s="84" t="e">
        <v>#N/A</v>
      </c>
      <c r="BJ9" s="84" t="e">
        <v>#N/A</v>
      </c>
      <c r="BK9" s="84" t="e">
        <v>#N/A</v>
      </c>
      <c r="BL9" s="111" t="e">
        <v>#N/A</v>
      </c>
      <c r="BM9" s="4"/>
      <c r="BN9" s="4"/>
      <c r="BO9" s="149">
        <f t="shared" si="4"/>
        <v>2</v>
      </c>
      <c r="BP9" s="92">
        <f t="shared" si="5"/>
        <v>0</v>
      </c>
      <c r="BQ9" s="92">
        <f t="shared" si="6"/>
        <v>-1</v>
      </c>
      <c r="BR9" s="92">
        <f t="shared" si="7"/>
        <v>0</v>
      </c>
      <c r="BS9" s="92"/>
      <c r="BT9" s="92"/>
      <c r="BU9" s="93"/>
      <c r="BV9" s="145">
        <f t="shared" si="8"/>
        <v>2.6812263750000001</v>
      </c>
      <c r="BW9" s="79" t="e">
        <f>BM21-(SUMPRODUCT(BG21:INDEX($BG21:$BK21,$BF$26),$BG$5:INDEX($BG$5:$BK$5,$BF$26))+IF($BF$27=6,INDEX($BG$5:$BL$5,$BF$26+1),0))</f>
        <v>#VALUE!</v>
      </c>
      <c r="ADZ9" s="26"/>
      <c r="AEA9" s="26"/>
      <c r="AEB9" s="26"/>
      <c r="AEC9" s="26"/>
      <c r="AED9" s="26"/>
      <c r="AEE9" s="26"/>
      <c r="AEF9" s="150"/>
      <c r="AEG9" s="150"/>
      <c r="AEH9" s="26"/>
      <c r="AEI9" s="26"/>
      <c r="AEJ9" s="151"/>
      <c r="AEK9" s="26"/>
      <c r="AEL9" s="26"/>
      <c r="AEM9" s="26"/>
    </row>
    <row r="10" spans="2:819" ht="15.75" thickBot="1" x14ac:dyDescent="0.3">
      <c r="C10" s="18" t="s">
        <v>1</v>
      </c>
      <c r="D10" s="19" t="s">
        <v>2</v>
      </c>
      <c r="E10" s="18" t="s">
        <v>1</v>
      </c>
      <c r="F10" s="19" t="s">
        <v>2</v>
      </c>
      <c r="G10" s="4"/>
      <c r="H10" s="50">
        <v>0</v>
      </c>
      <c r="I10" s="118">
        <v>0</v>
      </c>
      <c r="J10" s="46">
        <f t="shared" si="0"/>
        <v>9.5</v>
      </c>
      <c r="K10" s="131">
        <f t="shared" si="1"/>
        <v>1000</v>
      </c>
      <c r="M10" s="69" t="s">
        <v>9</v>
      </c>
      <c r="N10" s="155">
        <f t="shared" ref="N10:S10" si="10">IFERROR(ABS(N7/N8),".")</f>
        <v>4.1863356811402737</v>
      </c>
      <c r="O10" s="70">
        <f t="shared" si="10"/>
        <v>11.030606269973109</v>
      </c>
      <c r="P10" s="70" t="str">
        <f t="shared" si="10"/>
        <v>.</v>
      </c>
      <c r="Q10" s="70" t="str">
        <f t="shared" si="10"/>
        <v>.</v>
      </c>
      <c r="R10" s="70" t="str">
        <f t="shared" si="10"/>
        <v>.</v>
      </c>
      <c r="S10" s="156" t="str">
        <f t="shared" si="10"/>
        <v>.</v>
      </c>
      <c r="T10" s="73"/>
      <c r="U10" s="73"/>
      <c r="V10" s="70"/>
      <c r="AO10" s="70" t="str">
        <f>IFERROR(S7/AO9,".")</f>
        <v>.</v>
      </c>
      <c r="AP10" s="2"/>
      <c r="AZ10" s="79"/>
      <c r="BC10" s="2"/>
      <c r="BD10" s="2"/>
      <c r="BE10" s="2"/>
      <c r="BG10" s="28">
        <v>0.74495658485094285</v>
      </c>
      <c r="BH10" s="85">
        <v>0.63250088207297395</v>
      </c>
      <c r="BI10" s="86" t="e">
        <v>#N/A</v>
      </c>
      <c r="BJ10" s="86" t="e">
        <v>#N/A</v>
      </c>
      <c r="BK10" s="86" t="e">
        <v>#N/A</v>
      </c>
      <c r="BL10" s="87" t="e">
        <v>#N/A</v>
      </c>
      <c r="BM10" s="86"/>
      <c r="BN10" s="86"/>
      <c r="BO10" s="149">
        <f t="shared" si="4"/>
        <v>3</v>
      </c>
      <c r="BP10" s="92">
        <f t="shared" si="5"/>
        <v>0</v>
      </c>
      <c r="BQ10" s="92">
        <f t="shared" si="6"/>
        <v>1</v>
      </c>
      <c r="BR10" s="92">
        <f t="shared" si="7"/>
        <v>0</v>
      </c>
      <c r="BS10" s="92"/>
      <c r="BT10" s="92"/>
      <c r="BU10" s="93"/>
      <c r="BV10" s="145">
        <f t="shared" si="8"/>
        <v>1.6845331249999995</v>
      </c>
      <c r="BW10" s="79" t="e">
        <f>BM22-(SUMPRODUCT(BG22:INDEX($BG22:$BK22,$BF$26),$BG$5:INDEX($BG$5:$BK$5,$BF$26))+IF($BF$27=6,INDEX($BG$5:$BL$5,$BF$26+1),0))</f>
        <v>#VALUE!</v>
      </c>
      <c r="ADZ10" s="26"/>
      <c r="AEA10" s="26"/>
      <c r="AEB10" s="26"/>
      <c r="AEC10" s="26"/>
      <c r="AED10" s="26"/>
      <c r="AEE10" s="26"/>
      <c r="AEF10" s="150"/>
      <c r="AEG10" s="150"/>
      <c r="AEH10" s="26"/>
      <c r="AEI10" s="26"/>
      <c r="AEJ10" s="151"/>
      <c r="AEK10" s="26"/>
      <c r="AEL10" s="26"/>
      <c r="AEM10" s="26"/>
    </row>
    <row r="11" spans="2:819" ht="15.75" thickBot="1" x14ac:dyDescent="0.3">
      <c r="C11" s="20">
        <v>-1</v>
      </c>
      <c r="D11" s="21">
        <f>$D$9+$C$9*C11</f>
        <v>9</v>
      </c>
      <c r="E11" s="20">
        <v>-1</v>
      </c>
      <c r="F11" s="21">
        <f>$F$9+$E$9*E11</f>
        <v>1500</v>
      </c>
      <c r="G11" s="4"/>
      <c r="H11" s="50"/>
      <c r="I11" s="118"/>
      <c r="J11" s="46"/>
      <c r="K11" s="131"/>
      <c r="M11" s="71" t="s">
        <v>3</v>
      </c>
      <c r="N11" s="157" t="str">
        <f t="shared" ref="N11:S11" si="11">IF(N10&lt;".",IF(N10&gt;$Q$2,"sig","n sig"),".")</f>
        <v>sig</v>
      </c>
      <c r="O11" s="65" t="str">
        <f t="shared" si="11"/>
        <v>sig</v>
      </c>
      <c r="P11" s="65" t="str">
        <f t="shared" si="11"/>
        <v>.</v>
      </c>
      <c r="Q11" s="65" t="str">
        <f t="shared" si="11"/>
        <v>.</v>
      </c>
      <c r="R11" s="65" t="str">
        <f t="shared" si="11"/>
        <v>.</v>
      </c>
      <c r="S11" s="66" t="str">
        <f t="shared" si="11"/>
        <v>.</v>
      </c>
      <c r="T11" s="167"/>
      <c r="U11" s="167"/>
      <c r="V11" s="2"/>
      <c r="AO11" s="2" t="str">
        <f>IF(AO10&lt;".",IF(AO10&gt;$AP$5,"sig","n sig"),".")</f>
        <v>.</v>
      </c>
      <c r="AP11" s="2"/>
      <c r="AZ11" s="79"/>
      <c r="BC11" s="2"/>
      <c r="BD11" s="2"/>
      <c r="BE11" s="2"/>
      <c r="BG11" s="88">
        <v>17.525406435188184</v>
      </c>
      <c r="BH11" s="26">
        <v>6</v>
      </c>
      <c r="BI11" s="86" t="e">
        <v>#N/A</v>
      </c>
      <c r="BJ11" s="86" t="e">
        <v>#N/A</v>
      </c>
      <c r="BK11" s="86" t="e">
        <v>#N/A</v>
      </c>
      <c r="BL11" s="87" t="e">
        <v>#N/A</v>
      </c>
      <c r="BM11" s="86"/>
      <c r="BN11" s="86"/>
      <c r="BO11" s="149">
        <f t="shared" si="4"/>
        <v>4</v>
      </c>
      <c r="BP11" s="92">
        <f t="shared" si="5"/>
        <v>0</v>
      </c>
      <c r="BQ11" s="92">
        <f t="shared" si="6"/>
        <v>1</v>
      </c>
      <c r="BR11" s="92">
        <f t="shared" si="7"/>
        <v>0</v>
      </c>
      <c r="BS11" s="92"/>
      <c r="BT11" s="92"/>
      <c r="BU11" s="93"/>
      <c r="BV11" s="158">
        <f t="shared" si="8"/>
        <v>1.9506591041666663</v>
      </c>
      <c r="BW11" s="79" t="e">
        <f>BM23-(SUMPRODUCT(BG23:INDEX($BG23:$BK23,$BF$26),$BG$5:INDEX($BG$5:$BK$5,$BF$26))+IF($BF$27=6,INDEX($BG$5:$BL$5,$BF$26+1),0))</f>
        <v>#VALUE!</v>
      </c>
      <c r="ADZ11" s="26"/>
      <c r="AEA11" s="26"/>
      <c r="AEB11" s="26"/>
      <c r="AEC11" s="26"/>
      <c r="AED11" s="26"/>
      <c r="AEE11" s="26"/>
      <c r="AEF11" s="150"/>
      <c r="AEG11" s="150"/>
      <c r="AEH11" s="26"/>
      <c r="AEI11" s="26"/>
      <c r="AEJ11" s="151"/>
      <c r="AEK11" s="26"/>
      <c r="AEL11" s="26"/>
      <c r="AEM11" s="26"/>
    </row>
    <row r="12" spans="2:819" ht="15.75" thickBot="1" x14ac:dyDescent="0.3">
      <c r="C12" s="20">
        <v>0</v>
      </c>
      <c r="D12" s="21">
        <f t="shared" ref="D12:D13" si="12">$D$9+$C$9*C12</f>
        <v>9.5</v>
      </c>
      <c r="E12" s="20">
        <v>0</v>
      </c>
      <c r="F12" s="21">
        <f t="shared" ref="F12:F13" si="13">$F$9+$E$9*E12</f>
        <v>1000</v>
      </c>
      <c r="G12" s="4"/>
      <c r="H12" s="51"/>
      <c r="I12" s="52"/>
      <c r="J12" s="47"/>
      <c r="K12" s="132"/>
      <c r="U12" s="100"/>
      <c r="AC12" s="100"/>
      <c r="AD12" s="100"/>
      <c r="AO12" s="54"/>
      <c r="AP12" s="2"/>
      <c r="AZ12" s="79"/>
      <c r="BC12" s="2"/>
      <c r="BD12" s="2"/>
      <c r="BE12" s="2"/>
      <c r="BG12" s="112">
        <v>7.0111679334404169</v>
      </c>
      <c r="BH12" s="113">
        <v>2.4003441949385405</v>
      </c>
      <c r="BI12" s="114" t="e">
        <v>#N/A</v>
      </c>
      <c r="BJ12" s="114" t="e">
        <v>#N/A</v>
      </c>
      <c r="BK12" s="114" t="e">
        <v>#N/A</v>
      </c>
      <c r="BL12" s="115" t="e">
        <v>#N/A</v>
      </c>
      <c r="BM12" s="86"/>
      <c r="BN12" s="86"/>
      <c r="BO12" s="149">
        <f t="shared" si="4"/>
        <v>5</v>
      </c>
      <c r="BP12" s="92">
        <f t="shared" si="5"/>
        <v>0</v>
      </c>
      <c r="BQ12" s="92">
        <f t="shared" si="6"/>
        <v>-1</v>
      </c>
      <c r="BR12" s="92">
        <f t="shared" si="7"/>
        <v>0</v>
      </c>
      <c r="BS12" s="92"/>
      <c r="BT12" s="92"/>
      <c r="BU12" s="93"/>
      <c r="BV12" s="145">
        <f t="shared" si="8"/>
        <v>3.6977499999999983</v>
      </c>
      <c r="BW12" s="79" t="e">
        <f>BM24-(SUMPRODUCT(BG24:INDEX($BG24:$BK24,$BF$26),$BG$5:INDEX($BG$5:$BK$5,$BF$26))+IF($BF$27=6,INDEX($BG$5:$BL$5,$BF$26+1),0))</f>
        <v>#VALUE!</v>
      </c>
      <c r="ADZ12" s="26"/>
      <c r="AEA12" s="26"/>
      <c r="AEB12" s="26"/>
      <c r="AEC12" s="26"/>
      <c r="AED12" s="26"/>
      <c r="AEE12" s="26"/>
      <c r="AEF12" s="150"/>
      <c r="AEG12" s="150"/>
      <c r="AEH12" s="26"/>
      <c r="AEI12" s="26"/>
      <c r="AEJ12" s="151"/>
      <c r="AEK12" s="26"/>
      <c r="AEL12" s="26"/>
      <c r="AEM12" s="26"/>
    </row>
    <row r="13" spans="2:819" ht="15.75" thickBot="1" x14ac:dyDescent="0.3">
      <c r="C13" s="20">
        <v>1</v>
      </c>
      <c r="D13" s="21">
        <f t="shared" si="12"/>
        <v>10</v>
      </c>
      <c r="E13" s="20">
        <v>1</v>
      </c>
      <c r="F13" s="21">
        <f t="shared" si="13"/>
        <v>500</v>
      </c>
      <c r="G13" s="2"/>
      <c r="U13" s="61"/>
      <c r="AC13" s="61"/>
      <c r="AD13" s="61"/>
      <c r="AO13" s="2"/>
      <c r="AP13" s="62"/>
      <c r="AZ13" s="79"/>
      <c r="BC13" s="2"/>
      <c r="BD13" s="62"/>
      <c r="BE13" s="62"/>
      <c r="BF13" s="29" t="s">
        <v>9</v>
      </c>
      <c r="BG13" s="110">
        <f>ABS(BG8/BG9)</f>
        <v>4.1863356811402737</v>
      </c>
      <c r="BH13" s="41">
        <f t="shared" ref="BH13:BK13" si="14">ABS(BH8/BH9)</f>
        <v>11.030606269973109</v>
      </c>
      <c r="BI13" s="41" t="e">
        <f t="shared" si="14"/>
        <v>#N/A</v>
      </c>
      <c r="BJ13" s="41" t="e">
        <f t="shared" si="14"/>
        <v>#N/A</v>
      </c>
      <c r="BK13" s="109" t="e">
        <f t="shared" si="14"/>
        <v>#N/A</v>
      </c>
      <c r="BL13" s="41"/>
      <c r="BM13" s="41"/>
      <c r="BN13" s="41"/>
      <c r="BO13" s="149">
        <f t="shared" si="4"/>
        <v>6</v>
      </c>
      <c r="BP13" s="92">
        <f t="shared" si="5"/>
        <v>0</v>
      </c>
      <c r="BQ13" s="92">
        <f t="shared" si="6"/>
        <v>1</v>
      </c>
      <c r="BR13" s="92">
        <f t="shared" si="7"/>
        <v>0</v>
      </c>
      <c r="BS13" s="92"/>
      <c r="BT13" s="92"/>
      <c r="BU13" s="93"/>
      <c r="BV13" s="145">
        <f t="shared" si="8"/>
        <v>2.5739409999999996</v>
      </c>
      <c r="BW13" s="79" t="e">
        <f>BM25-(SUMPRODUCT(BG25:INDEX($BG25:$BK25,$BF$26),$BG$5:INDEX($BG$5:$BK$5,$BF$26))+IF($BF$27=6,INDEX($BG$5:$BL$5,$BF$26+1),0))</f>
        <v>#VALUE!</v>
      </c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</row>
    <row r="14" spans="2:819" ht="15.75" thickBot="1" x14ac:dyDescent="0.3">
      <c r="C14" s="20"/>
      <c r="D14" s="21"/>
      <c r="E14" s="18"/>
      <c r="F14" s="23"/>
      <c r="G14" s="2"/>
      <c r="H14" s="3"/>
      <c r="M14" s="72" t="s">
        <v>32</v>
      </c>
      <c r="N14" s="72" t="s">
        <v>33</v>
      </c>
      <c r="O14" s="72" t="s">
        <v>34</v>
      </c>
      <c r="Q14" s="2"/>
      <c r="R14" s="100"/>
      <c r="S14" s="100"/>
      <c r="AD14" s="94"/>
      <c r="AO14" s="94"/>
      <c r="AP14" s="62"/>
      <c r="AZ14" s="79"/>
      <c r="BC14" s="2"/>
      <c r="BD14" s="62"/>
      <c r="BE14" s="62"/>
      <c r="BF14" s="30" t="s">
        <v>10</v>
      </c>
      <c r="BG14" s="29" t="str">
        <f>IF($BG$13&lt;&gt;"erro",IF(BG13&gt;$BG15,"sign","nsig"),"erro")</f>
        <v>sign</v>
      </c>
      <c r="BH14" s="29" t="str">
        <f t="shared" ref="BH14:BK14" si="15">IF($BG$13&lt;&gt;"erro",IF(BH13&gt;$BG15,"sign","nsig"),"erro")</f>
        <v>sign</v>
      </c>
      <c r="BI14" s="29" t="e">
        <f t="shared" si="15"/>
        <v>#N/A</v>
      </c>
      <c r="BJ14" s="29" t="e">
        <f t="shared" si="15"/>
        <v>#N/A</v>
      </c>
      <c r="BK14" s="29" t="e">
        <f t="shared" si="15"/>
        <v>#N/A</v>
      </c>
      <c r="BL14" s="26"/>
      <c r="BM14" s="26"/>
      <c r="BN14" s="26"/>
      <c r="BO14" s="149">
        <f t="shared" si="4"/>
        <v>7</v>
      </c>
      <c r="BP14" s="92">
        <f t="shared" si="5"/>
        <v>0</v>
      </c>
      <c r="BQ14" s="92">
        <f t="shared" si="6"/>
        <v>-1</v>
      </c>
      <c r="BR14" s="92">
        <f t="shared" si="7"/>
        <v>0</v>
      </c>
      <c r="BS14" s="92"/>
      <c r="BT14" s="92"/>
      <c r="BU14" s="93"/>
      <c r="BV14" s="145">
        <f t="shared" si="8"/>
        <v>3.5</v>
      </c>
      <c r="BW14" s="79" t="e">
        <f>BM26-(SUMPRODUCT(BG26:INDEX($BG26:$BK26,$BF$26),$BG$5:INDEX($BG$5:$BK$5,$BF$26))+IF($BF$27=6,INDEX($BG$5:$BL$5,$BF$26+1),0))</f>
        <v>#VALUE!</v>
      </c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</row>
    <row r="15" spans="2:819" ht="15.75" thickBot="1" x14ac:dyDescent="0.3">
      <c r="C15" s="20"/>
      <c r="D15" s="21"/>
      <c r="E15" s="18"/>
      <c r="F15" s="23"/>
      <c r="G15" s="2"/>
      <c r="H15" s="3"/>
      <c r="M15" s="73">
        <v>0</v>
      </c>
      <c r="N15" s="73">
        <v>1</v>
      </c>
      <c r="O15" s="189">
        <v>0</v>
      </c>
      <c r="P15" s="189">
        <v>1</v>
      </c>
      <c r="Q15" s="61"/>
      <c r="R15" s="61"/>
      <c r="S15" s="61"/>
      <c r="AD15" s="99"/>
      <c r="AO15" s="116"/>
      <c r="AP15" s="4"/>
      <c r="AZ15" s="79"/>
      <c r="BC15" s="2"/>
      <c r="BD15" s="4"/>
      <c r="BE15" s="4"/>
      <c r="BF15" s="30" t="s">
        <v>11</v>
      </c>
      <c r="BG15" s="89">
        <f>_xlfn.T.INV.2T(0.05,BK15)</f>
        <v>2.4469118511449697</v>
      </c>
      <c r="BH15" s="42" t="s">
        <v>16</v>
      </c>
      <c r="BI15" s="42">
        <f>T3</f>
        <v>8</v>
      </c>
      <c r="BJ15" s="29" t="s">
        <v>17</v>
      </c>
      <c r="BK15" s="90">
        <f>T3-COUNT(BG8:BN8)</f>
        <v>6</v>
      </c>
      <c r="BL15" s="29" t="s">
        <v>18</v>
      </c>
      <c r="BM15" s="32">
        <v>0.05</v>
      </c>
      <c r="BO15" s="149">
        <f t="shared" si="4"/>
        <v>8</v>
      </c>
      <c r="BP15" s="92">
        <f t="shared" si="5"/>
        <v>0</v>
      </c>
      <c r="BQ15" s="92">
        <f t="shared" si="6"/>
        <v>2</v>
      </c>
      <c r="BR15" s="92">
        <f t="shared" si="7"/>
        <v>0</v>
      </c>
      <c r="BS15" s="92"/>
      <c r="BT15" s="92"/>
      <c r="BU15" s="93"/>
      <c r="BV15" s="145">
        <f t="shared" si="8"/>
        <v>0</v>
      </c>
      <c r="BW15" s="79" t="e">
        <f>BM27-(SUMPRODUCT(BG27:INDEX($BG27:$BK27,$BF$26),$BG$5:INDEX($BG$5:$BK$5,$BF$26))+IF($BF$27=6,INDEX($BG$5:$BL$5,$BF$26+1),0))</f>
        <v>#VALUE!</v>
      </c>
    </row>
    <row r="16" spans="2:819" ht="15.75" thickBot="1" x14ac:dyDescent="0.3">
      <c r="B16" s="38"/>
      <c r="C16" s="39"/>
      <c r="D16" s="40" t="s">
        <v>14</v>
      </c>
      <c r="E16" s="39" t="s">
        <v>15</v>
      </c>
      <c r="F16" s="32">
        <v>0</v>
      </c>
      <c r="M16" s="164" t="s">
        <v>6</v>
      </c>
      <c r="N16" s="165" t="s">
        <v>7</v>
      </c>
      <c r="O16" s="166" t="s">
        <v>8</v>
      </c>
      <c r="P16" s="190" t="s">
        <v>35</v>
      </c>
      <c r="Q16" s="2"/>
      <c r="R16" s="187"/>
      <c r="S16" s="188"/>
      <c r="AD16" s="99"/>
      <c r="AO16" s="116"/>
      <c r="AP16" s="2"/>
      <c r="AZ16" s="79"/>
      <c r="BC16" s="2"/>
      <c r="BD16" s="2"/>
      <c r="BE16" s="2"/>
      <c r="BO16" s="149">
        <f t="shared" si="4"/>
        <v>9</v>
      </c>
      <c r="BP16" s="92">
        <f t="shared" si="5"/>
        <v>0</v>
      </c>
      <c r="BQ16" s="92">
        <f t="shared" si="6"/>
        <v>2</v>
      </c>
      <c r="BR16" s="92">
        <f t="shared" si="7"/>
        <v>0</v>
      </c>
      <c r="BS16" s="92"/>
      <c r="BT16" s="92"/>
      <c r="BU16" s="93"/>
      <c r="BV16" s="145">
        <f t="shared" si="8"/>
        <v>0</v>
      </c>
      <c r="BW16" s="79" t="e">
        <f>BM28-(SUMPRODUCT(BG28:INDEX($BG28:$BK28,$BF$26),$BG$5:INDEX($BG$5:$BK$5,$BF$26))+IF($BF$27=6,INDEX($BG$5:$BL$5,$BF$26+1),0))</f>
        <v>#VALUE!</v>
      </c>
    </row>
    <row r="17" spans="1:75" ht="15.75" thickBot="1" x14ac:dyDescent="0.3">
      <c r="AD17" s="99"/>
      <c r="AO17" s="116"/>
      <c r="AP17" s="2"/>
      <c r="AZ17" s="79"/>
      <c r="BC17" s="2"/>
      <c r="BD17" s="2"/>
      <c r="BE17" s="54"/>
      <c r="BF17" s="54"/>
      <c r="BG17" s="1">
        <f>BF26</f>
        <v>1</v>
      </c>
      <c r="BH17" s="1">
        <f>IF(BG17&gt;1,BG17-1,0)</f>
        <v>0</v>
      </c>
      <c r="BI17" s="1">
        <f t="shared" ref="BI17:BJ17" si="16">IF(BH17&gt;1,BH17-1,0)</f>
        <v>0</v>
      </c>
      <c r="BJ17" s="1">
        <f t="shared" si="16"/>
        <v>0</v>
      </c>
      <c r="BM17" s="54"/>
      <c r="BO17" s="149">
        <f t="shared" si="4"/>
        <v>10</v>
      </c>
      <c r="BP17" s="92">
        <f t="shared" si="5"/>
        <v>0</v>
      </c>
      <c r="BQ17" s="92">
        <f t="shared" si="6"/>
        <v>0</v>
      </c>
      <c r="BR17" s="92">
        <f t="shared" si="7"/>
        <v>0</v>
      </c>
      <c r="BS17" s="92"/>
      <c r="BT17" s="92"/>
      <c r="BU17" s="93"/>
      <c r="BV17" s="145">
        <f t="shared" si="8"/>
        <v>0</v>
      </c>
      <c r="BW17" s="79" t="e">
        <f>BM29-(SUMPRODUCT(BG29:INDEX($BG29:$BK29,$BF$26),$BG$5:INDEX($BG$5:$BK$5,$BF$26))+IF($BF$27=6,INDEX($BG$5:$BL$5,$BF$26+1),0))</f>
        <v>#VALUE!</v>
      </c>
    </row>
    <row r="18" spans="1:75" ht="15.75" thickBot="1" x14ac:dyDescent="0.3">
      <c r="C18" s="29" t="s">
        <v>20</v>
      </c>
      <c r="D18" s="35"/>
      <c r="E18" s="18"/>
      <c r="F18" s="23"/>
      <c r="AD18" s="99"/>
      <c r="AO18" s="116"/>
      <c r="AP18" s="2"/>
      <c r="AZ18" s="79"/>
      <c r="BC18" s="2"/>
      <c r="BD18" s="2"/>
      <c r="BE18" s="2"/>
      <c r="BF18" s="2"/>
      <c r="BG18" s="1">
        <f>IFERROR(INDEX($BG$8:$BL$8,BG17),0)</f>
        <v>-0.84261004590636179</v>
      </c>
      <c r="BH18" s="1">
        <f t="shared" ref="BH18:BJ18" si="17">IFERROR(INDEX($BG$8:$BL$8,BH17),0)</f>
        <v>2.6034144765498208</v>
      </c>
      <c r="BI18" s="1">
        <f t="shared" si="17"/>
        <v>0</v>
      </c>
      <c r="BJ18" s="1">
        <f t="shared" si="17"/>
        <v>0</v>
      </c>
      <c r="BM18" s="2"/>
      <c r="BO18" s="149">
        <f t="shared" si="4"/>
        <v>11</v>
      </c>
      <c r="BP18" s="92">
        <f t="shared" si="5"/>
        <v>0</v>
      </c>
      <c r="BQ18" s="92">
        <f t="shared" si="6"/>
        <v>2</v>
      </c>
      <c r="BR18" s="92">
        <f t="shared" si="7"/>
        <v>0</v>
      </c>
      <c r="BS18" s="92"/>
      <c r="BT18" s="92"/>
      <c r="BU18" s="93"/>
      <c r="BV18" s="145">
        <f t="shared" si="8"/>
        <v>0</v>
      </c>
      <c r="BW18" s="79" t="e">
        <f>BM30-(SUMPRODUCT(BG30:INDEX($BG30:$BK30,$BF$26),$BG$5:INDEX($BG$5:$BK$5,$BF$26))+IF($BF$27=6,INDEX($BG$5:$BL$5,$BF$26+1),0))</f>
        <v>#VALUE!</v>
      </c>
    </row>
    <row r="19" spans="1:75" ht="15.75" thickBot="1" x14ac:dyDescent="0.3">
      <c r="C19" s="191" t="s">
        <v>21</v>
      </c>
      <c r="D19" s="192"/>
      <c r="E19" s="191" t="s">
        <v>19</v>
      </c>
      <c r="F19" s="193"/>
      <c r="AD19" s="99"/>
      <c r="AO19" s="116"/>
      <c r="AP19" s="94"/>
      <c r="AZ19" s="79"/>
      <c r="BE19" s="76" t="s">
        <v>4</v>
      </c>
      <c r="BF19" s="74" t="s">
        <v>41</v>
      </c>
      <c r="BG19" s="77">
        <f>IFERROR(MATCH(1,$BF$20:$BF$25,0),0)</f>
        <v>2</v>
      </c>
      <c r="BH19" s="78">
        <f>IFERROR(MATCH(1,(INDEX($BF$20:$BF$25,BG19+1):$BF$25),0)+BG$19,"??")</f>
        <v>4</v>
      </c>
      <c r="BI19" s="78" t="str">
        <f>IFERROR(MATCH(1,(INDEX($BF$20:$BF$25,BH19+1):$BF$25),0)+BH$19,"??")</f>
        <v>??</v>
      </c>
      <c r="BJ19" s="78" t="str">
        <f>IFERROR(MATCH(1,(INDEX($BF$20:$BF$25,BI19+1):$BF$25),0)+BI$19,"??")</f>
        <v>??</v>
      </c>
      <c r="BK19" s="78"/>
      <c r="BL19" s="78"/>
      <c r="BM19" s="76" t="s">
        <v>42</v>
      </c>
      <c r="BO19" s="149">
        <f t="shared" si="4"/>
        <v>12</v>
      </c>
      <c r="BP19" s="92">
        <f t="shared" si="5"/>
        <v>0</v>
      </c>
      <c r="BQ19" s="92">
        <f t="shared" si="6"/>
        <v>2</v>
      </c>
      <c r="BR19" s="92">
        <f t="shared" si="7"/>
        <v>0</v>
      </c>
      <c r="BS19" s="92"/>
      <c r="BT19" s="92"/>
      <c r="BU19" s="93"/>
      <c r="BV19" s="145">
        <f t="shared" si="8"/>
        <v>0</v>
      </c>
      <c r="BW19" s="79" t="e">
        <f>BM31-(SUMPRODUCT(BG31:INDEX($BG31:$BK31,$BF$26),$BG$5:INDEX($BG$5:$BK$5,$BF$26))+IF($BF$27=6,INDEX($BG$5:$BL$5,$BF$26+1),0))</f>
        <v>#VALUE!</v>
      </c>
    </row>
    <row r="20" spans="1:75" x14ac:dyDescent="0.25">
      <c r="B20" s="24" t="s">
        <v>3</v>
      </c>
      <c r="E20" s="18"/>
      <c r="F20" s="26"/>
      <c r="G20" s="174" t="s">
        <v>36</v>
      </c>
      <c r="H20" s="174" t="s">
        <v>57</v>
      </c>
      <c r="AD20" s="99"/>
      <c r="AO20" s="116"/>
      <c r="AP20" s="94"/>
      <c r="AZ20" s="79"/>
      <c r="BE20" s="80">
        <v>1</v>
      </c>
      <c r="BF20" s="101">
        <f>INDEX($M$15:$R$15,1,BE20)</f>
        <v>0</v>
      </c>
      <c r="BG20" s="79">
        <f>IFERROR(INDEX($BP$8:$BR$23,$BO8,BG$19),".")</f>
        <v>1</v>
      </c>
      <c r="BH20" s="79" t="str">
        <f t="shared" ref="BH20:BI20" si="18">IFERROR(INDEX($BP$8:$BR$23,$BO8,BH$19),".")</f>
        <v>.</v>
      </c>
      <c r="BI20" s="79" t="str">
        <f t="shared" si="18"/>
        <v>.</v>
      </c>
      <c r="BJ20" s="79"/>
      <c r="BK20" s="79"/>
      <c r="BM20" s="79">
        <f t="shared" ref="BM20:BM28" si="19">BV8</f>
        <v>2.21137607051282</v>
      </c>
      <c r="BO20" s="149">
        <f t="shared" si="4"/>
        <v>13</v>
      </c>
      <c r="BP20" s="92">
        <f t="shared" si="5"/>
        <v>0</v>
      </c>
      <c r="BQ20" s="92">
        <f t="shared" si="6"/>
        <v>2</v>
      </c>
      <c r="BR20" s="92">
        <f t="shared" si="7"/>
        <v>0</v>
      </c>
      <c r="BS20" s="92"/>
      <c r="BT20" s="92"/>
      <c r="BU20" s="93"/>
      <c r="BV20" s="145">
        <f t="shared" si="8"/>
        <v>0</v>
      </c>
      <c r="BW20" s="79" t="e">
        <f>BM32-(SUMPRODUCT(BG32:INDEX($BG32:$BK32,$BF$26),$BG$5:INDEX($BG$5:$BK$5,$BF$26))+IF($BF$27=6,INDEX($BG$5:$BL$5,$BF$26+1),0))</f>
        <v>#VALUE!</v>
      </c>
    </row>
    <row r="21" spans="1:75" ht="15.75" thickBot="1" x14ac:dyDescent="0.3">
      <c r="A21" s="1" t="s">
        <v>4</v>
      </c>
      <c r="B21" s="138" t="s">
        <v>5</v>
      </c>
      <c r="C21" s="45" t="s">
        <v>6</v>
      </c>
      <c r="D21" s="31" t="s">
        <v>7</v>
      </c>
      <c r="E21" s="1" t="str">
        <f>C3</f>
        <v>homogeneização</v>
      </c>
      <c r="F21" s="1" t="str">
        <f>E3</f>
        <v>tempo</v>
      </c>
      <c r="AD21" s="99"/>
      <c r="AO21" s="116"/>
      <c r="AP21" s="95"/>
      <c r="AZ21" s="79"/>
      <c r="BE21" s="80">
        <v>2</v>
      </c>
      <c r="BF21" s="36">
        <f>INDEX($M$15:$R$15,1,BE21)</f>
        <v>1</v>
      </c>
      <c r="BG21" s="79">
        <f t="shared" ref="BG21:BI34" si="20">IFERROR(INDEX($BP$8:$BR$23,$BO9,BG$19),".")</f>
        <v>-1</v>
      </c>
      <c r="BH21" s="79" t="str">
        <f t="shared" si="20"/>
        <v>.</v>
      </c>
      <c r="BI21" s="79" t="str">
        <f t="shared" si="20"/>
        <v>.</v>
      </c>
      <c r="BJ21" s="79"/>
      <c r="BK21" s="79"/>
      <c r="BM21" s="79">
        <f t="shared" si="19"/>
        <v>2.6812263750000001</v>
      </c>
      <c r="BO21" s="149">
        <f t="shared" si="4"/>
        <v>14</v>
      </c>
      <c r="BP21" s="92">
        <f t="shared" si="5"/>
        <v>0</v>
      </c>
      <c r="BQ21" s="92">
        <f t="shared" si="6"/>
        <v>2</v>
      </c>
      <c r="BR21" s="92">
        <f t="shared" si="7"/>
        <v>0</v>
      </c>
      <c r="BS21" s="92"/>
      <c r="BT21" s="92"/>
      <c r="BU21" s="93"/>
      <c r="BV21" s="145">
        <f t="shared" si="8"/>
        <v>0</v>
      </c>
      <c r="BW21" s="79" t="e">
        <f>BM33-(SUMPRODUCT(BG33:INDEX($BG33:$BK33,$BF$26),$BG$5:INDEX($BG$5:$BK$5,$BF$26))+IF($BF$27=6,INDEX($BG$5:$BL$5,$BF$26+1),0))</f>
        <v>#VALUE!</v>
      </c>
    </row>
    <row r="22" spans="1:75" x14ac:dyDescent="0.25">
      <c r="B22" s="139">
        <v>1</v>
      </c>
      <c r="C22" s="129">
        <f>(E22-$D$9)/$C$9</f>
        <v>-1</v>
      </c>
      <c r="D22" s="185">
        <f>(F22-$F$9)/$E$9</f>
        <v>1</v>
      </c>
      <c r="E22" s="200">
        <v>9</v>
      </c>
      <c r="F22" s="96">
        <v>500</v>
      </c>
      <c r="G22" s="96">
        <v>2.21137607051282</v>
      </c>
      <c r="H22" s="152">
        <f>BM20-(SUMPRODUCT(BG20:INDEX($BG20:$BK20,$BF$26),$BG$18:INDEX($BG$18:$BK$18,$BF$26))+IF($BF$27=4,INDEX($BG$18:$BL$18,$BF$26+1),0))</f>
        <v>0.45057163986936111</v>
      </c>
      <c r="AD22" s="99"/>
      <c r="AO22" s="116"/>
      <c r="BE22" s="80">
        <v>3</v>
      </c>
      <c r="BF22" s="36">
        <f>INDEX($M$15:$R$15,1,BE22)</f>
        <v>0</v>
      </c>
      <c r="BG22" s="79">
        <f t="shared" si="20"/>
        <v>1</v>
      </c>
      <c r="BH22" s="79" t="str">
        <f t="shared" si="20"/>
        <v>.</v>
      </c>
      <c r="BI22" s="79" t="str">
        <f t="shared" si="20"/>
        <v>.</v>
      </c>
      <c r="BJ22" s="79"/>
      <c r="BK22" s="79"/>
      <c r="BM22" s="79">
        <f t="shared" si="19"/>
        <v>1.6845331249999995</v>
      </c>
      <c r="BO22" s="149">
        <f t="shared" si="4"/>
        <v>15</v>
      </c>
      <c r="BP22" s="92">
        <f t="shared" si="5"/>
        <v>0</v>
      </c>
      <c r="BQ22" s="92">
        <f t="shared" si="6"/>
        <v>2</v>
      </c>
      <c r="BR22" s="92">
        <f t="shared" si="7"/>
        <v>0</v>
      </c>
      <c r="BS22" s="92"/>
      <c r="BT22" s="92"/>
      <c r="BU22" s="93"/>
      <c r="BV22" s="145">
        <f t="shared" si="8"/>
        <v>0</v>
      </c>
      <c r="BW22" s="79" t="e">
        <f>BM34-(SUMPRODUCT(BG34:INDEX($BG34:$BK34,$BF$26),$BG$5:INDEX($BG$5:$BK$5,$BF$26))+IF($BF$27=6,INDEX($BG$5:$BL$5,$BF$26+1),0))</f>
        <v>#VALUE!</v>
      </c>
    </row>
    <row r="23" spans="1:75" x14ac:dyDescent="0.25">
      <c r="B23" s="140">
        <f>B22+1</f>
        <v>2</v>
      </c>
      <c r="C23" s="50">
        <f t="shared" ref="C23:C37" si="21">(E23-$D$9)/$C$9</f>
        <v>-1</v>
      </c>
      <c r="D23" s="186">
        <f t="shared" ref="D23:D37" si="22">(F23-$F$9)/$E$9</f>
        <v>-1</v>
      </c>
      <c r="E23" s="201">
        <v>9</v>
      </c>
      <c r="F23" s="97">
        <v>1500</v>
      </c>
      <c r="G23" s="97">
        <v>2.6812263750000001</v>
      </c>
      <c r="H23" s="152">
        <f>BM21-(SUMPRODUCT(BG21:INDEX($BG21:$BK21,$BF$26),$BG$18:INDEX($BG$18:$BK$18,$BF$26))+IF($BF$27=4,INDEX($BG$18:$BL$18,$BF$26+1),0))</f>
        <v>-0.76479814745618269</v>
      </c>
      <c r="T23" s="34"/>
      <c r="AD23" s="2"/>
      <c r="BE23" s="80">
        <v>4</v>
      </c>
      <c r="BF23" s="36">
        <f t="shared" ref="BF23" si="23">INDEX($M$15:$R$15,1,BE23)</f>
        <v>1</v>
      </c>
      <c r="BG23" s="79">
        <f t="shared" si="20"/>
        <v>1</v>
      </c>
      <c r="BH23" s="79" t="str">
        <f t="shared" si="20"/>
        <v>.</v>
      </c>
      <c r="BI23" s="79" t="str">
        <f t="shared" si="20"/>
        <v>.</v>
      </c>
      <c r="BJ23" s="79"/>
      <c r="BK23" s="79"/>
      <c r="BM23" s="79">
        <f t="shared" si="19"/>
        <v>1.9506591041666663</v>
      </c>
      <c r="BO23" s="149">
        <f t="shared" si="4"/>
        <v>16</v>
      </c>
      <c r="BP23" s="92">
        <f t="shared" si="5"/>
        <v>0</v>
      </c>
      <c r="BQ23" s="92">
        <f t="shared" si="6"/>
        <v>2</v>
      </c>
      <c r="BR23" s="92">
        <f t="shared" si="7"/>
        <v>0</v>
      </c>
      <c r="BS23" s="92"/>
      <c r="BT23" s="92"/>
      <c r="BU23" s="93"/>
      <c r="BV23" s="145">
        <f t="shared" si="8"/>
        <v>0</v>
      </c>
      <c r="BW23" s="79" t="e">
        <f>BM35-(SUMPRODUCT(BG35:INDEX($BG35:$BK35,$BF$26),$BG$5:INDEX($BG$5:$BK$5,$BF$26))+IF($BF$27=6,INDEX($BG$5:$BL$5,$BF$26+1),0))</f>
        <v>#VALUE!</v>
      </c>
    </row>
    <row r="24" spans="1:75" x14ac:dyDescent="0.25">
      <c r="B24" s="140">
        <f t="shared" ref="B24:B37" si="24">B23+1</f>
        <v>3</v>
      </c>
      <c r="C24" s="50">
        <f t="shared" si="21"/>
        <v>1</v>
      </c>
      <c r="D24" s="186">
        <f t="shared" si="22"/>
        <v>1</v>
      </c>
      <c r="E24" s="201">
        <v>10</v>
      </c>
      <c r="F24" s="97">
        <v>500</v>
      </c>
      <c r="G24" s="97">
        <v>1.6845331249999995</v>
      </c>
      <c r="H24" s="152">
        <f>BM22-(SUMPRODUCT(BG22:INDEX($BG22:$BK22,$BF$26),$BG$18:INDEX($BG$18:$BK$18,$BF$26))+IF($BF$27=4,INDEX($BG$18:$BL$18,$BF$26+1),0))</f>
        <v>-7.6271305643459408E-2</v>
      </c>
      <c r="T24" s="34"/>
      <c r="AD24" s="2"/>
      <c r="BE24" s="80"/>
      <c r="BF24" s="54"/>
      <c r="BG24" s="79">
        <f t="shared" si="20"/>
        <v>-1</v>
      </c>
      <c r="BH24" s="79" t="str">
        <f t="shared" si="20"/>
        <v>.</v>
      </c>
      <c r="BI24" s="79" t="str">
        <f t="shared" si="20"/>
        <v>.</v>
      </c>
      <c r="BJ24" s="79"/>
      <c r="BK24" s="79"/>
      <c r="BM24" s="79">
        <f t="shared" si="19"/>
        <v>3.6977499999999983</v>
      </c>
    </row>
    <row r="25" spans="1:75" x14ac:dyDescent="0.25">
      <c r="B25" s="140">
        <f t="shared" si="24"/>
        <v>4</v>
      </c>
      <c r="C25" s="50">
        <f t="shared" si="21"/>
        <v>-1</v>
      </c>
      <c r="D25" s="186">
        <f t="shared" si="22"/>
        <v>1</v>
      </c>
      <c r="E25" s="201">
        <v>9</v>
      </c>
      <c r="F25" s="44">
        <v>500</v>
      </c>
      <c r="G25" s="97">
        <v>1.9506591041666663</v>
      </c>
      <c r="H25" s="152">
        <f>BM23-(SUMPRODUCT(BG23:INDEX($BG23:$BK23,$BF$26),$BG$18:INDEX($BG$18:$BK$18,$BF$26))+IF($BF$27=4,INDEX($BG$18:$BL$18,$BF$26+1),0))</f>
        <v>0.1898546735232074</v>
      </c>
      <c r="J25" s="2"/>
      <c r="K25" s="33"/>
      <c r="L25" s="33"/>
      <c r="M25" s="34"/>
      <c r="T25" s="34"/>
      <c r="AD25" s="2"/>
      <c r="BE25" s="80"/>
      <c r="BF25" s="54"/>
      <c r="BG25" s="79">
        <f t="shared" si="20"/>
        <v>1</v>
      </c>
      <c r="BH25" s="79" t="str">
        <f t="shared" si="20"/>
        <v>.</v>
      </c>
      <c r="BI25" s="79" t="str">
        <f t="shared" si="20"/>
        <v>.</v>
      </c>
      <c r="BJ25" s="79"/>
      <c r="BK25" s="79"/>
      <c r="BM25" s="79">
        <f t="shared" si="19"/>
        <v>2.5739409999999996</v>
      </c>
    </row>
    <row r="26" spans="1:75" x14ac:dyDescent="0.25">
      <c r="B26" s="140">
        <f t="shared" si="24"/>
        <v>5</v>
      </c>
      <c r="C26" s="50">
        <f t="shared" si="21"/>
        <v>-1</v>
      </c>
      <c r="D26" s="186">
        <f t="shared" si="22"/>
        <v>-1</v>
      </c>
      <c r="E26" s="201">
        <v>9</v>
      </c>
      <c r="F26" s="44">
        <v>1500</v>
      </c>
      <c r="G26" s="136">
        <v>3.6977499999999983</v>
      </c>
      <c r="H26" s="152">
        <f>BM24-(SUMPRODUCT(BG24:INDEX($BG24:$BK24,$BF$26),$BG$18:INDEX($BG$18:$BK$18,$BF$26))+IF($BF$27=4,INDEX($BG$18:$BL$18,$BF$26+1),0))</f>
        <v>0.25172547754381558</v>
      </c>
      <c r="J26" s="2"/>
      <c r="K26" s="33"/>
      <c r="L26" s="33"/>
      <c r="M26" s="34"/>
      <c r="T26" s="34"/>
      <c r="AD26" s="2"/>
      <c r="BE26" s="117" t="s">
        <v>45</v>
      </c>
      <c r="BF26" s="54">
        <f>IF(MAX($BG$19:$BL$19)=4,BF28-1,BF28)</f>
        <v>1</v>
      </c>
      <c r="BG26" s="79">
        <f t="shared" si="20"/>
        <v>-1</v>
      </c>
      <c r="BH26" s="79" t="str">
        <f t="shared" si="20"/>
        <v>.</v>
      </c>
      <c r="BI26" s="79" t="str">
        <f t="shared" si="20"/>
        <v>.</v>
      </c>
      <c r="BJ26" s="79"/>
      <c r="BK26" s="79"/>
      <c r="BM26" s="79">
        <f t="shared" si="19"/>
        <v>3.5</v>
      </c>
    </row>
    <row r="27" spans="1:75" x14ac:dyDescent="0.25">
      <c r="B27" s="140">
        <f t="shared" si="24"/>
        <v>6</v>
      </c>
      <c r="C27" s="50">
        <f t="shared" si="21"/>
        <v>1</v>
      </c>
      <c r="D27" s="186">
        <f t="shared" si="22"/>
        <v>1</v>
      </c>
      <c r="E27" s="201">
        <v>10</v>
      </c>
      <c r="F27" s="44">
        <v>500</v>
      </c>
      <c r="G27" s="136">
        <v>2.5739409999999996</v>
      </c>
      <c r="H27" s="152">
        <f>BM25-(SUMPRODUCT(BG25:INDEX($BG25:$BK25,$BF$26),$BG$18:INDEX($BG$18:$BK$18,$BF$26))+IF($BF$27=4,INDEX($BG$18:$BL$18,$BF$26+1),0))</f>
        <v>0.81313656935654066</v>
      </c>
      <c r="I27" s="3"/>
      <c r="J27" s="37"/>
      <c r="K27" s="33"/>
      <c r="L27" s="33"/>
      <c r="M27" s="34"/>
      <c r="T27" s="34"/>
      <c r="AD27" s="2"/>
      <c r="BE27" s="117" t="s">
        <v>44</v>
      </c>
      <c r="BF27" s="80">
        <f>MAX($BG$19:$BJ$19)</f>
        <v>4</v>
      </c>
      <c r="BG27" s="79">
        <f t="shared" si="20"/>
        <v>2</v>
      </c>
      <c r="BH27" s="79" t="str">
        <f t="shared" si="20"/>
        <v>.</v>
      </c>
      <c r="BI27" s="79" t="str">
        <f t="shared" si="20"/>
        <v>.</v>
      </c>
      <c r="BJ27" s="79"/>
      <c r="BK27" s="79"/>
      <c r="BM27" s="79">
        <f t="shared" si="19"/>
        <v>0</v>
      </c>
    </row>
    <row r="28" spans="1:75" x14ac:dyDescent="0.25">
      <c r="B28" s="140">
        <f t="shared" si="24"/>
        <v>7</v>
      </c>
      <c r="C28" s="50">
        <f t="shared" si="21"/>
        <v>1</v>
      </c>
      <c r="D28" s="186">
        <f t="shared" si="22"/>
        <v>-1</v>
      </c>
      <c r="E28" s="201">
        <v>10</v>
      </c>
      <c r="F28" s="44">
        <v>1500</v>
      </c>
      <c r="G28" s="136">
        <v>3.5</v>
      </c>
      <c r="H28" s="152">
        <f>BM26-(SUMPRODUCT(BG26:INDEX($BG26:$BK26,$BF$26),$BG$18:INDEX($BG$18:$BK$18,$BF$26))+IF($BF$27=4,INDEX($BG$18:$BL$18,$BF$26+1),0))</f>
        <v>5.3975477543817263E-2</v>
      </c>
      <c r="I28" s="3"/>
      <c r="J28" s="37"/>
      <c r="K28" s="33"/>
      <c r="L28" s="33"/>
      <c r="M28" s="34"/>
      <c r="T28" s="34"/>
      <c r="BE28" s="117" t="s">
        <v>43</v>
      </c>
      <c r="BF28" s="54">
        <f>COUNT(BG19:BL19)</f>
        <v>2</v>
      </c>
      <c r="BG28" s="79">
        <f t="shared" si="20"/>
        <v>2</v>
      </c>
      <c r="BH28" s="79" t="str">
        <f t="shared" si="20"/>
        <v>.</v>
      </c>
      <c r="BI28" s="79" t="str">
        <f t="shared" si="20"/>
        <v>.</v>
      </c>
      <c r="BJ28" s="79"/>
      <c r="BK28" s="79"/>
      <c r="BM28" s="79">
        <f t="shared" si="19"/>
        <v>0</v>
      </c>
    </row>
    <row r="29" spans="1:75" x14ac:dyDescent="0.25">
      <c r="B29" s="140">
        <f t="shared" si="24"/>
        <v>8</v>
      </c>
      <c r="C29" s="50">
        <f t="shared" si="21"/>
        <v>-19</v>
      </c>
      <c r="D29" s="186">
        <f t="shared" si="22"/>
        <v>2</v>
      </c>
      <c r="E29" s="201"/>
      <c r="F29" s="44"/>
      <c r="G29" s="136"/>
      <c r="H29" s="152"/>
      <c r="I29" s="3"/>
      <c r="J29" s="37"/>
      <c r="K29" s="33"/>
      <c r="L29" s="33"/>
      <c r="M29" s="34"/>
      <c r="T29" s="34"/>
      <c r="BE29" s="80"/>
      <c r="BF29" s="2"/>
      <c r="BG29" s="79">
        <f t="shared" si="20"/>
        <v>0</v>
      </c>
      <c r="BH29" s="79" t="str">
        <f t="shared" si="20"/>
        <v>.</v>
      </c>
      <c r="BI29" s="79" t="str">
        <f t="shared" si="20"/>
        <v>.</v>
      </c>
      <c r="BJ29" s="79"/>
      <c r="BK29" s="79"/>
      <c r="BM29" s="79">
        <f t="shared" ref="BM29:BM34" si="25">AD26</f>
        <v>0</v>
      </c>
    </row>
    <row r="30" spans="1:75" x14ac:dyDescent="0.25">
      <c r="B30" s="140">
        <f t="shared" si="24"/>
        <v>9</v>
      </c>
      <c r="C30" s="50">
        <f t="shared" si="21"/>
        <v>-19</v>
      </c>
      <c r="D30" s="186">
        <f t="shared" si="22"/>
        <v>2</v>
      </c>
      <c r="E30" s="142"/>
      <c r="F30" s="44"/>
      <c r="G30" s="97"/>
      <c r="H30" s="152"/>
      <c r="I30" s="3"/>
      <c r="J30" s="37"/>
      <c r="K30" s="33"/>
      <c r="L30" s="33"/>
      <c r="M30" s="34"/>
      <c r="T30" s="34"/>
      <c r="BE30" s="80"/>
      <c r="BF30" s="2"/>
      <c r="BG30" s="79">
        <f t="shared" si="20"/>
        <v>2</v>
      </c>
      <c r="BH30" s="79" t="str">
        <f t="shared" si="20"/>
        <v>.</v>
      </c>
      <c r="BI30" s="79" t="str">
        <f t="shared" si="20"/>
        <v>.</v>
      </c>
      <c r="BJ30" s="79"/>
      <c r="BK30" s="79"/>
      <c r="BM30" s="79">
        <f t="shared" si="25"/>
        <v>0</v>
      </c>
    </row>
    <row r="31" spans="1:75" x14ac:dyDescent="0.25">
      <c r="B31" s="140">
        <f t="shared" si="24"/>
        <v>10</v>
      </c>
      <c r="C31" s="50"/>
      <c r="D31" s="53"/>
      <c r="E31" s="142"/>
      <c r="F31" s="44"/>
      <c r="G31" s="97"/>
      <c r="H31" s="152"/>
      <c r="I31" s="2"/>
      <c r="J31" s="2"/>
      <c r="K31" s="99"/>
      <c r="L31" s="99"/>
      <c r="M31" s="99"/>
      <c r="T31" s="2"/>
      <c r="U31" s="2"/>
      <c r="V31" s="2"/>
      <c r="BE31" s="80"/>
      <c r="BF31" s="2"/>
      <c r="BG31" s="79">
        <f t="shared" si="20"/>
        <v>2</v>
      </c>
      <c r="BH31" s="79" t="str">
        <f t="shared" si="20"/>
        <v>.</v>
      </c>
      <c r="BI31" s="79" t="str">
        <f t="shared" si="20"/>
        <v>.</v>
      </c>
      <c r="BJ31" s="79"/>
      <c r="BK31" s="79"/>
      <c r="BM31" s="79">
        <f t="shared" si="25"/>
        <v>0</v>
      </c>
    </row>
    <row r="32" spans="1:75" x14ac:dyDescent="0.25">
      <c r="B32" s="140">
        <f t="shared" si="24"/>
        <v>11</v>
      </c>
      <c r="C32" s="50">
        <f t="shared" si="21"/>
        <v>-19</v>
      </c>
      <c r="D32" s="118">
        <f t="shared" si="22"/>
        <v>2</v>
      </c>
      <c r="E32" s="43"/>
      <c r="F32" s="44"/>
      <c r="G32" s="136"/>
      <c r="H32" s="152"/>
      <c r="I32" s="2"/>
      <c r="J32" s="2"/>
      <c r="K32" s="2"/>
      <c r="L32" s="2"/>
      <c r="M32" s="2"/>
      <c r="T32" s="2"/>
      <c r="U32" s="2"/>
      <c r="V32" s="2"/>
      <c r="BE32" s="80"/>
      <c r="BF32" s="2"/>
      <c r="BG32" s="79">
        <f t="shared" si="20"/>
        <v>2</v>
      </c>
      <c r="BH32" s="79" t="str">
        <f t="shared" si="20"/>
        <v>.</v>
      </c>
      <c r="BI32" s="79" t="str">
        <f t="shared" si="20"/>
        <v>.</v>
      </c>
      <c r="BJ32" s="79"/>
      <c r="BK32" s="79"/>
      <c r="BM32" s="79">
        <f t="shared" si="25"/>
        <v>0</v>
      </c>
    </row>
    <row r="33" spans="2:65" x14ac:dyDescent="0.25">
      <c r="B33" s="140">
        <f t="shared" si="24"/>
        <v>12</v>
      </c>
      <c r="C33" s="50">
        <f t="shared" si="21"/>
        <v>-19</v>
      </c>
      <c r="D33" s="118">
        <f t="shared" si="22"/>
        <v>2</v>
      </c>
      <c r="E33" s="43"/>
      <c r="F33" s="44"/>
      <c r="G33" s="136"/>
      <c r="H33" s="152"/>
      <c r="I33" s="2"/>
      <c r="J33" s="2"/>
      <c r="BE33" s="80"/>
      <c r="BF33" s="2"/>
      <c r="BG33" s="79">
        <f t="shared" si="20"/>
        <v>2</v>
      </c>
      <c r="BH33" s="79" t="str">
        <f t="shared" si="20"/>
        <v>.</v>
      </c>
      <c r="BI33" s="79" t="str">
        <f t="shared" si="20"/>
        <v>.</v>
      </c>
      <c r="BJ33" s="79"/>
      <c r="BK33" s="79"/>
      <c r="BM33" s="79">
        <f t="shared" si="25"/>
        <v>0</v>
      </c>
    </row>
    <row r="34" spans="2:65" x14ac:dyDescent="0.25">
      <c r="B34" s="140">
        <f t="shared" si="24"/>
        <v>13</v>
      </c>
      <c r="C34" s="50">
        <f t="shared" si="21"/>
        <v>-19</v>
      </c>
      <c r="D34" s="118">
        <f t="shared" si="22"/>
        <v>2</v>
      </c>
      <c r="E34" s="43"/>
      <c r="F34" s="44"/>
      <c r="G34" s="136"/>
      <c r="H34" s="152"/>
      <c r="I34" s="2"/>
      <c r="J34" s="2"/>
      <c r="BE34" s="80"/>
      <c r="BF34" s="2"/>
      <c r="BG34" s="79">
        <f t="shared" si="20"/>
        <v>2</v>
      </c>
      <c r="BH34" s="79" t="str">
        <f t="shared" si="20"/>
        <v>.</v>
      </c>
      <c r="BI34" s="79" t="str">
        <f t="shared" si="20"/>
        <v>.</v>
      </c>
      <c r="BJ34" s="79"/>
      <c r="BK34" s="79"/>
      <c r="BM34" s="79">
        <f t="shared" si="25"/>
        <v>0</v>
      </c>
    </row>
    <row r="35" spans="2:65" x14ac:dyDescent="0.25">
      <c r="B35" s="140">
        <f t="shared" si="24"/>
        <v>14</v>
      </c>
      <c r="C35" s="50">
        <f t="shared" si="21"/>
        <v>-19</v>
      </c>
      <c r="D35" s="118">
        <f t="shared" si="22"/>
        <v>2</v>
      </c>
      <c r="E35" s="43"/>
      <c r="F35" s="44"/>
      <c r="G35" s="136"/>
      <c r="H35" s="152"/>
      <c r="I35" s="3"/>
      <c r="J35" s="3"/>
      <c r="K35" s="5"/>
      <c r="L35" s="5"/>
    </row>
    <row r="36" spans="2:65" x14ac:dyDescent="0.25">
      <c r="B36" s="140">
        <f t="shared" si="24"/>
        <v>15</v>
      </c>
      <c r="C36" s="50">
        <f t="shared" si="21"/>
        <v>-19</v>
      </c>
      <c r="D36" s="118">
        <f t="shared" si="22"/>
        <v>2</v>
      </c>
      <c r="E36" s="43"/>
      <c r="F36" s="44"/>
      <c r="G36" s="136"/>
      <c r="H36" s="152"/>
      <c r="I36" s="3"/>
      <c r="J36" s="3"/>
      <c r="K36" s="5"/>
      <c r="L36" s="5"/>
    </row>
    <row r="37" spans="2:65" x14ac:dyDescent="0.25">
      <c r="B37" s="140">
        <f t="shared" si="24"/>
        <v>16</v>
      </c>
      <c r="C37" s="50">
        <f t="shared" si="21"/>
        <v>-19</v>
      </c>
      <c r="D37" s="118">
        <f t="shared" si="22"/>
        <v>2</v>
      </c>
      <c r="E37" s="43"/>
      <c r="F37" s="44"/>
      <c r="G37" s="136"/>
      <c r="H37" s="152"/>
      <c r="I37" s="137"/>
      <c r="J37" s="2"/>
    </row>
    <row r="38" spans="2:65" ht="15.75" thickBot="1" x14ac:dyDescent="0.3">
      <c r="B38" s="141"/>
      <c r="C38" s="143"/>
      <c r="D38" s="144"/>
      <c r="E38" s="43"/>
      <c r="F38" s="44"/>
      <c r="G38" s="98"/>
      <c r="H38" s="152"/>
      <c r="I38" s="2"/>
      <c r="J38" s="2"/>
    </row>
    <row r="39" spans="2:65" x14ac:dyDescent="0.25">
      <c r="B39" s="2"/>
      <c r="C39" s="4"/>
      <c r="D39" s="2"/>
      <c r="E39" s="2"/>
      <c r="F39" s="2"/>
      <c r="G39" s="2"/>
      <c r="H39" s="2"/>
      <c r="I39" s="2"/>
      <c r="J39" s="2"/>
    </row>
    <row r="40" spans="2:65" x14ac:dyDescent="0.25">
      <c r="B40" s="2"/>
      <c r="C40" s="2"/>
      <c r="D40" s="2"/>
      <c r="E40" s="2"/>
      <c r="F40" s="2"/>
      <c r="G40" s="2"/>
      <c r="H40" s="2"/>
      <c r="I40" s="2"/>
      <c r="J40" s="2"/>
    </row>
    <row r="41" spans="2:65" x14ac:dyDescent="0.25">
      <c r="B41" s="2"/>
      <c r="C41" s="2"/>
      <c r="D41" s="2"/>
      <c r="E41" s="2"/>
      <c r="F41" s="2"/>
      <c r="G41" s="2"/>
      <c r="H41" s="2"/>
      <c r="I41" s="2"/>
      <c r="J41" s="2"/>
    </row>
    <row r="42" spans="2:65" x14ac:dyDescent="0.25">
      <c r="B42" s="2"/>
      <c r="C42" s="2"/>
      <c r="D42" s="2"/>
      <c r="E42" s="2"/>
      <c r="F42" s="2"/>
      <c r="G42" s="2"/>
      <c r="H42" s="2"/>
      <c r="I42" s="2"/>
      <c r="J42" s="2"/>
    </row>
    <row r="43" spans="2:65" x14ac:dyDescent="0.25">
      <c r="B43" s="2"/>
      <c r="C43" s="2"/>
      <c r="D43" s="2"/>
      <c r="E43" s="2"/>
      <c r="F43" s="2"/>
      <c r="G43" s="2"/>
      <c r="H43" s="2"/>
      <c r="I43" s="2"/>
      <c r="J43" s="2"/>
    </row>
    <row r="44" spans="2:65" x14ac:dyDescent="0.25">
      <c r="B44" s="2"/>
      <c r="C44" s="2"/>
      <c r="D44" s="2"/>
      <c r="E44" s="2"/>
      <c r="F44" s="2"/>
      <c r="G44" s="2"/>
      <c r="H44" s="2"/>
      <c r="I44" s="2"/>
      <c r="J44" s="2"/>
    </row>
    <row r="45" spans="2:65" x14ac:dyDescent="0.25">
      <c r="B45" s="2"/>
      <c r="C45" s="2"/>
      <c r="D45" s="2"/>
      <c r="E45" s="2"/>
      <c r="F45" s="2"/>
      <c r="G45" s="2"/>
      <c r="H45" s="2"/>
      <c r="I45" s="2"/>
      <c r="J45" s="2"/>
    </row>
  </sheetData>
  <mergeCells count="7">
    <mergeCell ref="C2:D2"/>
    <mergeCell ref="E2:F2"/>
    <mergeCell ref="J2:K2"/>
    <mergeCell ref="C3:D3"/>
    <mergeCell ref="E3:F3"/>
    <mergeCell ref="C19:D19"/>
    <mergeCell ref="E19:F19"/>
  </mergeCells>
  <conditionalFormatting sqref="N11:S11">
    <cfRule type="cellIs" dxfId="2" priority="1" operator="equal">
      <formula>"n sig"</formula>
    </cfRule>
    <cfRule type="cellIs" dxfId="1" priority="2" operator="equal">
      <formula>"sig"</formula>
    </cfRule>
    <cfRule type="cellIs" dxfId="0" priority="3" operator="equal">
      <formula>"""sig"""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35841" r:id="rId4">
          <objectPr defaultSize="0" autoPict="0" r:id="rId5">
            <anchor moveWithCells="1">
              <from>
                <xdr:col>1</xdr:col>
                <xdr:colOff>533400</xdr:colOff>
                <xdr:row>39</xdr:row>
                <xdr:rowOff>66675</xdr:rowOff>
              </from>
              <to>
                <xdr:col>7</xdr:col>
                <xdr:colOff>390525</xdr:colOff>
                <xdr:row>44</xdr:row>
                <xdr:rowOff>38100</xdr:rowOff>
              </to>
            </anchor>
          </objectPr>
        </oleObject>
      </mc:Choice>
      <mc:Fallback>
        <oleObject progId="Equation.3" shapeId="35841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AEM45"/>
  <sheetViews>
    <sheetView tabSelected="1" zoomScale="70" zoomScaleNormal="70" workbookViewId="0">
      <selection activeCell="E22" sqref="E22:G28"/>
    </sheetView>
  </sheetViews>
  <sheetFormatPr defaultRowHeight="15" x14ac:dyDescent="0.25"/>
  <cols>
    <col min="1" max="1" width="8" style="1" customWidth="1"/>
    <col min="2" max="2" width="11.5703125" style="1" customWidth="1"/>
    <col min="3" max="3" width="12.42578125" style="1" customWidth="1"/>
    <col min="4" max="4" width="12.85546875" style="1" customWidth="1"/>
    <col min="5" max="5" width="11.28515625" style="1" customWidth="1"/>
    <col min="6" max="6" width="10.7109375" style="1" customWidth="1"/>
    <col min="7" max="8" width="11.42578125" style="1" bestFit="1" customWidth="1"/>
    <col min="9" max="9" width="10.42578125" style="1" customWidth="1"/>
    <col min="10" max="10" width="10" style="1" customWidth="1"/>
    <col min="11" max="11" width="11.7109375" style="1" customWidth="1"/>
    <col min="12" max="15" width="11.42578125" style="1" bestFit="1" customWidth="1"/>
    <col min="16" max="16" width="10.85546875" style="1" customWidth="1"/>
    <col min="17" max="17" width="10.42578125" style="1" customWidth="1"/>
    <col min="18" max="33" width="11.42578125" style="1" bestFit="1" customWidth="1"/>
    <col min="34" max="41" width="9.140625" style="1"/>
    <col min="42" max="54" width="9.140625" style="1" customWidth="1"/>
    <col min="55" max="16384" width="9.140625" style="1"/>
  </cols>
  <sheetData>
    <row r="1" spans="2:819" ht="27.75" thickBot="1" x14ac:dyDescent="0.4">
      <c r="B1" s="148" t="s">
        <v>53</v>
      </c>
      <c r="H1" s="135" t="s">
        <v>24</v>
      </c>
      <c r="M1" s="147" t="s">
        <v>54</v>
      </c>
      <c r="N1" s="2"/>
      <c r="O1" s="2"/>
      <c r="P1" s="2"/>
      <c r="Q1" s="2"/>
      <c r="R1" s="2"/>
      <c r="S1" s="161" t="s">
        <v>56</v>
      </c>
      <c r="T1" s="2"/>
      <c r="U1" s="2"/>
      <c r="V1" s="2"/>
      <c r="AO1" s="2"/>
      <c r="ADZ1" s="26"/>
      <c r="AEA1" s="26"/>
      <c r="AEB1" s="26"/>
      <c r="AEC1" s="26"/>
      <c r="AED1" s="26"/>
      <c r="AEE1" s="26"/>
      <c r="AEF1" s="26"/>
      <c r="AEG1" s="26"/>
      <c r="AEH1" s="26"/>
      <c r="AEI1" s="26"/>
      <c r="AEJ1" s="26"/>
      <c r="AEK1" s="26"/>
      <c r="AEL1" s="26"/>
      <c r="AEM1" s="26"/>
    </row>
    <row r="2" spans="2:819" ht="15.75" x14ac:dyDescent="0.25">
      <c r="C2" s="196" t="s">
        <v>0</v>
      </c>
      <c r="D2" s="197"/>
      <c r="E2" s="196" t="s">
        <v>12</v>
      </c>
      <c r="F2" s="197"/>
      <c r="G2" s="55"/>
      <c r="H2" s="48" t="str">
        <f>C3</f>
        <v>homogeneização</v>
      </c>
      <c r="I2" s="49" t="str">
        <f>E3</f>
        <v>tempo</v>
      </c>
      <c r="J2" s="194" t="s">
        <v>2</v>
      </c>
      <c r="K2" s="195"/>
      <c r="M2" s="56" t="s">
        <v>25</v>
      </c>
      <c r="N2" s="146">
        <f>BG10</f>
        <v>0.74495658485094285</v>
      </c>
      <c r="O2" s="57"/>
      <c r="P2" s="58" t="s">
        <v>26</v>
      </c>
      <c r="Q2" s="59">
        <f>_xlfn.T.INV.2T(0.05,Q4)</f>
        <v>2.4469118511449697</v>
      </c>
      <c r="R2" s="2"/>
      <c r="S2" s="159" t="s">
        <v>37</v>
      </c>
      <c r="T2" s="25">
        <v>1</v>
      </c>
      <c r="AO2" s="2"/>
      <c r="AP2" s="2"/>
      <c r="AQ2" s="2">
        <f>MATCH(N$15,$M$15:$Q$15,0)</f>
        <v>2</v>
      </c>
      <c r="AR2" s="2"/>
      <c r="AS2" s="2"/>
      <c r="AT2" s="2"/>
      <c r="AU2" s="2"/>
      <c r="AV2" s="2"/>
      <c r="AW2" s="2"/>
      <c r="AX2" s="2"/>
      <c r="AY2" s="2"/>
      <c r="AZ2" s="2"/>
      <c r="BA2" s="2"/>
      <c r="BB2" s="94"/>
      <c r="BC2" s="94"/>
      <c r="BD2" s="26"/>
      <c r="BE2" s="26"/>
      <c r="BP2" s="75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</row>
    <row r="3" spans="2:819" ht="15" customHeight="1" thickBot="1" x14ac:dyDescent="0.3">
      <c r="C3" s="198" t="s">
        <v>22</v>
      </c>
      <c r="D3" s="199"/>
      <c r="E3" s="198" t="s">
        <v>23</v>
      </c>
      <c r="F3" s="199"/>
      <c r="G3" s="54"/>
      <c r="H3" s="126" t="s">
        <v>6</v>
      </c>
      <c r="I3" s="127" t="s">
        <v>7</v>
      </c>
      <c r="J3" s="133" t="str">
        <f>C3</f>
        <v>homogeneização</v>
      </c>
      <c r="K3" s="128" t="str">
        <f>E3</f>
        <v>tempo</v>
      </c>
      <c r="M3" s="60" t="s">
        <v>27</v>
      </c>
      <c r="N3" s="85">
        <f>1-((Q3-1)/(Q4-1))*(1-N2)</f>
        <v>0.64293921879131999</v>
      </c>
      <c r="O3" s="2"/>
      <c r="P3" s="61" t="s">
        <v>16</v>
      </c>
      <c r="Q3" s="16">
        <f>Q4+COUNT(N8:T8)</f>
        <v>8</v>
      </c>
      <c r="R3" s="2"/>
      <c r="S3" s="160" t="s">
        <v>39</v>
      </c>
      <c r="T3" s="169">
        <v>8</v>
      </c>
      <c r="AO3" s="2"/>
      <c r="AP3" s="2"/>
      <c r="AQ3" s="2"/>
      <c r="AR3" s="2"/>
      <c r="AT3" s="2"/>
      <c r="AU3" s="2"/>
      <c r="AV3" s="2"/>
      <c r="AW3" s="2"/>
      <c r="AX3" s="2"/>
      <c r="AY3" s="2"/>
      <c r="BA3" s="2"/>
      <c r="BB3" s="94"/>
      <c r="BC3" s="94"/>
      <c r="BD3" s="26"/>
      <c r="BE3" s="26"/>
      <c r="BG3" s="1">
        <v>1</v>
      </c>
      <c r="BH3" s="1">
        <v>2</v>
      </c>
      <c r="BI3" s="1">
        <v>3</v>
      </c>
      <c r="BJ3" s="1">
        <v>4</v>
      </c>
      <c r="BK3" s="1">
        <v>5</v>
      </c>
      <c r="BP3" s="75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</row>
    <row r="4" spans="2:819" x14ac:dyDescent="0.25">
      <c r="B4" s="6" t="s">
        <v>49</v>
      </c>
      <c r="C4" s="7"/>
      <c r="D4" s="8">
        <v>9</v>
      </c>
      <c r="E4" s="9"/>
      <c r="F4" s="8">
        <v>500</v>
      </c>
      <c r="G4" s="2"/>
      <c r="H4" s="129">
        <v>-1</v>
      </c>
      <c r="I4" s="185">
        <v>-1</v>
      </c>
      <c r="J4" s="134">
        <f t="shared" ref="J4:J10" si="0">$D$9+$C$9*H4</f>
        <v>9</v>
      </c>
      <c r="K4" s="130">
        <f t="shared" ref="K4:K10" si="1">$F$9+$E$9*I4</f>
        <v>1500</v>
      </c>
      <c r="M4" s="60" t="s">
        <v>28</v>
      </c>
      <c r="N4" s="62">
        <f>-LOG(1-N3)</f>
        <v>0.44725784916322436</v>
      </c>
      <c r="O4" s="2"/>
      <c r="P4" s="61" t="s">
        <v>17</v>
      </c>
      <c r="Q4" s="16">
        <f>BH11</f>
        <v>6</v>
      </c>
      <c r="R4" s="2"/>
      <c r="S4" s="170" t="s">
        <v>38</v>
      </c>
      <c r="T4" s="171">
        <v>1</v>
      </c>
      <c r="U4" s="2"/>
      <c r="V4" s="2"/>
      <c r="AO4" s="2"/>
      <c r="AP4" s="54"/>
      <c r="AZ4" s="54"/>
      <c r="BA4" s="2"/>
      <c r="BB4" s="95"/>
      <c r="BC4" s="95"/>
      <c r="BD4" s="26"/>
      <c r="BE4" s="26"/>
      <c r="BG4" s="26"/>
      <c r="BH4" s="26"/>
      <c r="BI4" s="26"/>
      <c r="BJ4" s="26"/>
      <c r="BK4" s="26"/>
      <c r="BL4" s="26"/>
      <c r="BM4" s="26"/>
      <c r="BP4" s="75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</row>
    <row r="5" spans="2:819" ht="15.75" thickBot="1" x14ac:dyDescent="0.3">
      <c r="B5" s="10" t="s">
        <v>48</v>
      </c>
      <c r="C5" s="11"/>
      <c r="D5" s="12">
        <v>10</v>
      </c>
      <c r="E5" s="13"/>
      <c r="F5" s="12">
        <v>1500</v>
      </c>
      <c r="G5" s="2"/>
      <c r="H5" s="50">
        <v>-1</v>
      </c>
      <c r="I5" s="186">
        <v>1</v>
      </c>
      <c r="J5" s="46">
        <f t="shared" si="0"/>
        <v>9</v>
      </c>
      <c r="K5" s="131">
        <f t="shared" si="1"/>
        <v>500</v>
      </c>
      <c r="M5" s="63" t="s">
        <v>29</v>
      </c>
      <c r="N5" s="64">
        <f>BH10</f>
        <v>0.63250088207297395</v>
      </c>
      <c r="O5" s="65"/>
      <c r="P5" s="65"/>
      <c r="Q5" s="66"/>
      <c r="R5" s="2"/>
      <c r="S5" s="172" t="s">
        <v>40</v>
      </c>
      <c r="T5" s="173">
        <f>IF(BF27=4,BF28-1,BF28)</f>
        <v>1</v>
      </c>
      <c r="U5" s="2"/>
      <c r="V5" s="2"/>
      <c r="AO5" s="2"/>
      <c r="AP5" s="2"/>
      <c r="AZ5" s="2"/>
      <c r="BF5" s="27"/>
      <c r="BG5" s="33"/>
      <c r="BH5" s="33"/>
      <c r="BI5" s="33"/>
      <c r="BJ5" s="33"/>
      <c r="BK5" s="33"/>
      <c r="BL5" s="33"/>
      <c r="BM5" s="106"/>
      <c r="BN5" s="106"/>
      <c r="BO5" s="106"/>
      <c r="BP5" s="2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</row>
    <row r="6" spans="2:819" ht="15.75" thickBot="1" x14ac:dyDescent="0.3">
      <c r="B6" s="14" t="s">
        <v>51</v>
      </c>
      <c r="C6" s="15"/>
      <c r="D6" s="16">
        <v>-1</v>
      </c>
      <c r="E6" s="17"/>
      <c r="F6" s="16">
        <f>MAX(E11:E18)</f>
        <v>1</v>
      </c>
      <c r="G6" s="2"/>
      <c r="H6" s="50">
        <v>1</v>
      </c>
      <c r="I6" s="186">
        <v>-1</v>
      </c>
      <c r="J6" s="46">
        <f t="shared" si="0"/>
        <v>10</v>
      </c>
      <c r="K6" s="131">
        <f t="shared" si="1"/>
        <v>1500</v>
      </c>
      <c r="M6" s="153"/>
      <c r="N6" s="67" t="str">
        <f t="shared" ref="N6:S6" si="2">BG7</f>
        <v>B</v>
      </c>
      <c r="O6" s="67" t="str">
        <f t="shared" si="2"/>
        <v>CONSTANTE</v>
      </c>
      <c r="P6" s="67" t="str">
        <f t="shared" si="2"/>
        <v>.</v>
      </c>
      <c r="Q6" s="67" t="str">
        <f t="shared" si="2"/>
        <v>.</v>
      </c>
      <c r="R6" s="67" t="str">
        <f t="shared" si="2"/>
        <v>.</v>
      </c>
      <c r="S6" s="154" t="str">
        <f t="shared" si="2"/>
        <v>.</v>
      </c>
      <c r="T6" s="2"/>
      <c r="U6" s="2"/>
      <c r="V6" s="2"/>
      <c r="AO6" s="2"/>
      <c r="AP6" s="76"/>
      <c r="AZ6" s="104"/>
      <c r="BF6" s="27"/>
      <c r="BG6" s="33"/>
      <c r="BH6" s="33"/>
      <c r="BI6" s="33"/>
      <c r="BJ6" s="33"/>
      <c r="BK6" s="33"/>
      <c r="BL6" s="33"/>
      <c r="BM6" s="100"/>
      <c r="BN6" s="100"/>
      <c r="BO6" s="100"/>
      <c r="BP6" s="107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</row>
    <row r="7" spans="2:819" ht="15.75" customHeight="1" thickBot="1" x14ac:dyDescent="0.35">
      <c r="B7" s="10" t="s">
        <v>50</v>
      </c>
      <c r="C7" s="15"/>
      <c r="D7" s="16">
        <v>1</v>
      </c>
      <c r="E7" s="17"/>
      <c r="F7" s="16">
        <f>MIN(E11:E18)</f>
        <v>-1</v>
      </c>
      <c r="G7" s="2"/>
      <c r="H7" s="50">
        <v>1</v>
      </c>
      <c r="I7" s="186">
        <v>1</v>
      </c>
      <c r="J7" s="46">
        <f t="shared" si="0"/>
        <v>10</v>
      </c>
      <c r="K7" s="131">
        <f t="shared" si="1"/>
        <v>500</v>
      </c>
      <c r="M7" s="180" t="s">
        <v>30</v>
      </c>
      <c r="N7" s="181">
        <f t="shared" ref="N7:S8" si="3">IFERROR(INDEX($BG8:$BL8,MATCH(BG$19,$BG$19:$BL$19,0)),".")</f>
        <v>-0.84261004590636179</v>
      </c>
      <c r="O7" s="182">
        <f t="shared" si="3"/>
        <v>2.6034144765498208</v>
      </c>
      <c r="P7" s="182" t="str">
        <f t="shared" si="3"/>
        <v>.</v>
      </c>
      <c r="Q7" s="182" t="str">
        <f t="shared" si="3"/>
        <v>.</v>
      </c>
      <c r="R7" s="183" t="str">
        <f t="shared" si="3"/>
        <v>.</v>
      </c>
      <c r="S7" s="184" t="str">
        <f t="shared" si="3"/>
        <v>.</v>
      </c>
      <c r="T7" s="102"/>
      <c r="U7" s="102"/>
      <c r="V7" s="102"/>
      <c r="AO7" s="26"/>
      <c r="AP7" s="79"/>
      <c r="AZ7" s="79"/>
      <c r="BC7" s="2"/>
      <c r="BD7" s="79"/>
      <c r="BE7" s="79"/>
      <c r="BG7" s="108" t="str">
        <f>IFERROR(INDEX($M$16:$R$16,,INDEX($BG$19:$BL$19,,$BF$26)),".")</f>
        <v>B</v>
      </c>
      <c r="BH7" s="108" t="str">
        <f>IFERROR(INDEX($M$16:$R$16,,INDEX($BG$19:$BL$19,,$BF$26-1)),".")</f>
        <v>CONSTANTE</v>
      </c>
      <c r="BI7" s="108" t="str">
        <f>IFERROR(INDEX($M$16:$R$16,,INDEX($BG$19:$BL$19,,$BF$26-2)),".")</f>
        <v>.</v>
      </c>
      <c r="BJ7" s="108" t="str">
        <f>IFERROR(INDEX($M$16:$R$16,,INDEX($BG$19:$BL$19,,$BF$26-3)),".")</f>
        <v>.</v>
      </c>
      <c r="BK7" s="108" t="str">
        <f>IFERROR(INDEX($M$16:$R$16,,INDEX($BG$19:$BL$19,,$BF$26-4)),".")</f>
        <v>.</v>
      </c>
      <c r="BL7" s="108" t="str">
        <f>IFERROR(INDEX($M$16:$R$16,,INDEX($BG$19:$BL$19,,$BF$26-5)),".")</f>
        <v>.</v>
      </c>
      <c r="BM7" s="54"/>
      <c r="BN7" s="54"/>
      <c r="BO7" s="104" t="s">
        <v>4</v>
      </c>
      <c r="BP7" s="164" t="s">
        <v>6</v>
      </c>
      <c r="BQ7" s="165" t="s">
        <v>7</v>
      </c>
      <c r="BR7" s="166" t="s">
        <v>8</v>
      </c>
      <c r="BS7" s="167"/>
      <c r="BT7" s="167"/>
      <c r="BU7" s="175" t="s">
        <v>35</v>
      </c>
      <c r="BV7" s="176" t="s">
        <v>36</v>
      </c>
      <c r="BW7" s="177" t="s">
        <v>13</v>
      </c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</row>
    <row r="8" spans="2:819" ht="18.75" x14ac:dyDescent="0.3">
      <c r="C8" s="119" t="s">
        <v>46</v>
      </c>
      <c r="D8" s="124" t="s">
        <v>47</v>
      </c>
      <c r="E8" s="119" t="s">
        <v>46</v>
      </c>
      <c r="F8" s="120" t="s">
        <v>47</v>
      </c>
      <c r="G8" s="2"/>
      <c r="H8" s="50">
        <v>0</v>
      </c>
      <c r="I8" s="118">
        <v>0</v>
      </c>
      <c r="J8" s="46">
        <f t="shared" si="0"/>
        <v>9.5</v>
      </c>
      <c r="K8" s="131">
        <f t="shared" si="1"/>
        <v>1000</v>
      </c>
      <c r="M8" s="68" t="s">
        <v>31</v>
      </c>
      <c r="N8" s="162">
        <f t="shared" si="3"/>
        <v>0.20127627359229153</v>
      </c>
      <c r="O8" s="163">
        <f t="shared" si="3"/>
        <v>0.23601735143395411</v>
      </c>
      <c r="P8" s="163" t="str">
        <f t="shared" si="3"/>
        <v>.</v>
      </c>
      <c r="Q8" s="163" t="str">
        <f t="shared" si="3"/>
        <v>.</v>
      </c>
      <c r="R8" s="2" t="str">
        <f t="shared" si="3"/>
        <v>.</v>
      </c>
      <c r="S8" s="16" t="str">
        <f t="shared" si="3"/>
        <v>.</v>
      </c>
      <c r="T8" s="103"/>
      <c r="U8" s="103"/>
      <c r="V8" s="103"/>
      <c r="AO8" s="26"/>
      <c r="AP8" s="2"/>
      <c r="AZ8" s="79"/>
      <c r="BC8" s="2"/>
      <c r="BD8" s="2"/>
      <c r="BE8" s="2"/>
      <c r="BG8" s="81">
        <f t="array" ref="BG8:BL12">LINEST((INDEX(BM20:BM34,T2):INDEX(BM20:BM34,T3)),(INDEX(BG20:BM34,T2,T4):INDEX(BG20:BM34,T3,T5)),P15,1)</f>
        <v>-0.84261004590636179</v>
      </c>
      <c r="BH8" s="82">
        <v>2.6034144765498208</v>
      </c>
      <c r="BI8" s="82" t="e">
        <v>#N/A</v>
      </c>
      <c r="BJ8" s="82" t="e">
        <v>#N/A</v>
      </c>
      <c r="BK8" s="82" t="e">
        <v>#N/A</v>
      </c>
      <c r="BL8" s="83" t="e">
        <v>#N/A</v>
      </c>
      <c r="BM8" s="105"/>
      <c r="BN8" s="105"/>
      <c r="BO8" s="149">
        <f t="shared" ref="BO8:BO23" si="4">B22</f>
        <v>1</v>
      </c>
      <c r="BP8" s="91">
        <f t="shared" ref="BP8:BP23" si="5">$C22*M$15</f>
        <v>0</v>
      </c>
      <c r="BQ8" s="91">
        <f t="shared" ref="BQ8:BQ23" si="6">$D22*N$15</f>
        <v>1</v>
      </c>
      <c r="BR8" s="91">
        <f t="shared" ref="BR8:BR23" si="7">$C22*$D22*O$15</f>
        <v>0</v>
      </c>
      <c r="BS8" s="91"/>
      <c r="BT8" s="91"/>
      <c r="BU8" s="93"/>
      <c r="BV8" s="145">
        <f t="shared" ref="BV8:BV16" si="8">G22</f>
        <v>2.21137607051282</v>
      </c>
      <c r="BW8" s="79" t="e">
        <f>BM20-(SUMPRODUCT(BG20:INDEX($BG20:$BK20,$BF$26),$BG$5:INDEX($BG$5:$BK$5,$BF$26))+IF($BF$27=6,INDEX($BG$5:$BL$5,$BF$26+1),0))</f>
        <v>#VALUE!</v>
      </c>
      <c r="ADZ8" s="26"/>
      <c r="AEA8" s="26"/>
      <c r="AEB8" s="26"/>
      <c r="AEC8" s="26"/>
      <c r="AED8" s="26"/>
      <c r="AEE8" s="26"/>
      <c r="AEF8" s="150"/>
      <c r="AEG8" s="150"/>
      <c r="AEH8" s="26"/>
      <c r="AEI8" s="26"/>
      <c r="AEJ8" s="151"/>
      <c r="AEK8" s="26"/>
      <c r="AEL8" s="26"/>
      <c r="AEM8" s="26"/>
    </row>
    <row r="9" spans="2:819" ht="15.75" thickBot="1" x14ac:dyDescent="0.3">
      <c r="B9" s="2" t="s">
        <v>52</v>
      </c>
      <c r="C9" s="121">
        <f>SLOPE(D4:D5,D6:D7)</f>
        <v>0.5</v>
      </c>
      <c r="D9" s="122">
        <f>INTERCEPT(D4:D5,D6:D7)</f>
        <v>9.5</v>
      </c>
      <c r="E9" s="125">
        <f>SLOPE(F4:F5,F6:F7)</f>
        <v>-500</v>
      </c>
      <c r="F9" s="123">
        <f>INTERCEPT(F4:F5,F6:F7)</f>
        <v>1000</v>
      </c>
      <c r="G9" s="2"/>
      <c r="H9" s="50">
        <v>0</v>
      </c>
      <c r="I9" s="118">
        <v>0</v>
      </c>
      <c r="J9" s="46">
        <f t="shared" si="0"/>
        <v>9.5</v>
      </c>
      <c r="K9" s="131">
        <f t="shared" si="1"/>
        <v>1000</v>
      </c>
      <c r="M9" s="18" t="s">
        <v>55</v>
      </c>
      <c r="N9" s="168">
        <f>IFERROR(_xlfn.T.DIST.2T(N10,$Q$4),".")</f>
        <v>5.7727002223754934E-3</v>
      </c>
      <c r="O9" s="178">
        <f t="shared" ref="O9:S9" si="9">IFERROR(_xlfn.T.DIST.2T(O10,$Q$4),".")</f>
        <v>3.302171795659555E-5</v>
      </c>
      <c r="P9" s="178" t="str">
        <f t="shared" si="9"/>
        <v>.</v>
      </c>
      <c r="Q9" s="178" t="str">
        <f t="shared" si="9"/>
        <v>.</v>
      </c>
      <c r="R9" s="178" t="str">
        <f t="shared" si="9"/>
        <v>.</v>
      </c>
      <c r="S9" s="179" t="str">
        <f t="shared" si="9"/>
        <v>.</v>
      </c>
      <c r="T9" s="72"/>
      <c r="U9" s="72"/>
      <c r="V9" s="2"/>
      <c r="AO9" s="2" t="str">
        <f>IFERROR(INDEX($BE9:$BN9,MATCH(BU$8,$BE$8:$BN$8,0)),".")</f>
        <v>.</v>
      </c>
      <c r="AP9" s="2"/>
      <c r="AZ9" s="79"/>
      <c r="BC9" s="2"/>
      <c r="BD9" s="2"/>
      <c r="BE9" s="2"/>
      <c r="BG9" s="22">
        <v>0.20127627359229153</v>
      </c>
      <c r="BH9" s="84">
        <v>0.23601735143395411</v>
      </c>
      <c r="BI9" s="84" t="e">
        <v>#N/A</v>
      </c>
      <c r="BJ9" s="84" t="e">
        <v>#N/A</v>
      </c>
      <c r="BK9" s="84" t="e">
        <v>#N/A</v>
      </c>
      <c r="BL9" s="111" t="e">
        <v>#N/A</v>
      </c>
      <c r="BM9" s="4"/>
      <c r="BN9" s="4"/>
      <c r="BO9" s="149">
        <f t="shared" si="4"/>
        <v>2</v>
      </c>
      <c r="BP9" s="92">
        <f t="shared" si="5"/>
        <v>0</v>
      </c>
      <c r="BQ9" s="92">
        <f t="shared" si="6"/>
        <v>-1</v>
      </c>
      <c r="BR9" s="92">
        <f t="shared" si="7"/>
        <v>0</v>
      </c>
      <c r="BS9" s="92"/>
      <c r="BT9" s="92"/>
      <c r="BU9" s="93"/>
      <c r="BV9" s="145">
        <f t="shared" si="8"/>
        <v>2.6812263750000001</v>
      </c>
      <c r="BW9" s="79" t="e">
        <f>BM21-(SUMPRODUCT(BG21:INDEX($BG21:$BK21,$BF$26),$BG$5:INDEX($BG$5:$BK$5,$BF$26))+IF($BF$27=6,INDEX($BG$5:$BL$5,$BF$26+1),0))</f>
        <v>#VALUE!</v>
      </c>
      <c r="ADZ9" s="26"/>
      <c r="AEA9" s="26"/>
      <c r="AEB9" s="26"/>
      <c r="AEC9" s="26"/>
      <c r="AED9" s="26"/>
      <c r="AEE9" s="26"/>
      <c r="AEF9" s="150"/>
      <c r="AEG9" s="150"/>
      <c r="AEH9" s="26"/>
      <c r="AEI9" s="26"/>
      <c r="AEJ9" s="151"/>
      <c r="AEK9" s="26"/>
      <c r="AEL9" s="26"/>
      <c r="AEM9" s="26"/>
    </row>
    <row r="10" spans="2:819" ht="15.75" thickBot="1" x14ac:dyDescent="0.3">
      <c r="C10" s="18" t="s">
        <v>1</v>
      </c>
      <c r="D10" s="19" t="s">
        <v>2</v>
      </c>
      <c r="E10" s="18" t="s">
        <v>1</v>
      </c>
      <c r="F10" s="19" t="s">
        <v>2</v>
      </c>
      <c r="G10" s="4"/>
      <c r="H10" s="50">
        <v>0</v>
      </c>
      <c r="I10" s="118">
        <v>0</v>
      </c>
      <c r="J10" s="46">
        <f t="shared" si="0"/>
        <v>9.5</v>
      </c>
      <c r="K10" s="131">
        <f t="shared" si="1"/>
        <v>1000</v>
      </c>
      <c r="M10" s="69" t="s">
        <v>9</v>
      </c>
      <c r="N10" s="155">
        <f t="shared" ref="N10:S10" si="10">IFERROR(ABS(N7/N8),".")</f>
        <v>4.1863356811402737</v>
      </c>
      <c r="O10" s="70">
        <f t="shared" si="10"/>
        <v>11.030606269973109</v>
      </c>
      <c r="P10" s="70" t="str">
        <f t="shared" si="10"/>
        <v>.</v>
      </c>
      <c r="Q10" s="70" t="str">
        <f t="shared" si="10"/>
        <v>.</v>
      </c>
      <c r="R10" s="70" t="str">
        <f t="shared" si="10"/>
        <v>.</v>
      </c>
      <c r="S10" s="156" t="str">
        <f t="shared" si="10"/>
        <v>.</v>
      </c>
      <c r="T10" s="73"/>
      <c r="U10" s="73"/>
      <c r="V10" s="70"/>
      <c r="AO10" s="70" t="str">
        <f>IFERROR(S7/AO9,".")</f>
        <v>.</v>
      </c>
      <c r="AP10" s="2"/>
      <c r="AZ10" s="79"/>
      <c r="BC10" s="2"/>
      <c r="BD10" s="2"/>
      <c r="BE10" s="2"/>
      <c r="BG10" s="28">
        <v>0.74495658485094285</v>
      </c>
      <c r="BH10" s="85">
        <v>0.63250088207297395</v>
      </c>
      <c r="BI10" s="86" t="e">
        <v>#N/A</v>
      </c>
      <c r="BJ10" s="86" t="e">
        <v>#N/A</v>
      </c>
      <c r="BK10" s="86" t="e">
        <v>#N/A</v>
      </c>
      <c r="BL10" s="87" t="e">
        <v>#N/A</v>
      </c>
      <c r="BM10" s="86"/>
      <c r="BN10" s="86"/>
      <c r="BO10" s="149">
        <f t="shared" si="4"/>
        <v>3</v>
      </c>
      <c r="BP10" s="92">
        <f t="shared" si="5"/>
        <v>0</v>
      </c>
      <c r="BQ10" s="92">
        <f t="shared" si="6"/>
        <v>1</v>
      </c>
      <c r="BR10" s="92">
        <f t="shared" si="7"/>
        <v>0</v>
      </c>
      <c r="BS10" s="92"/>
      <c r="BT10" s="92"/>
      <c r="BU10" s="93"/>
      <c r="BV10" s="145">
        <f t="shared" si="8"/>
        <v>1.6845331249999995</v>
      </c>
      <c r="BW10" s="79" t="e">
        <f>BM22-(SUMPRODUCT(BG22:INDEX($BG22:$BK22,$BF$26),$BG$5:INDEX($BG$5:$BK$5,$BF$26))+IF($BF$27=6,INDEX($BG$5:$BL$5,$BF$26+1),0))</f>
        <v>#VALUE!</v>
      </c>
      <c r="ADZ10" s="26"/>
      <c r="AEA10" s="26"/>
      <c r="AEB10" s="26"/>
      <c r="AEC10" s="26"/>
      <c r="AED10" s="26"/>
      <c r="AEE10" s="26"/>
      <c r="AEF10" s="150"/>
      <c r="AEG10" s="150"/>
      <c r="AEH10" s="26"/>
      <c r="AEI10" s="26"/>
      <c r="AEJ10" s="151"/>
      <c r="AEK10" s="26"/>
      <c r="AEL10" s="26"/>
      <c r="AEM10" s="26"/>
    </row>
    <row r="11" spans="2:819" ht="15.75" thickBot="1" x14ac:dyDescent="0.3">
      <c r="C11" s="20">
        <v>-1</v>
      </c>
      <c r="D11" s="21">
        <f>$D$9+$C$9*C11</f>
        <v>9</v>
      </c>
      <c r="E11" s="20">
        <v>-1</v>
      </c>
      <c r="F11" s="21">
        <f>$F$9+$E$9*E11</f>
        <v>1500</v>
      </c>
      <c r="G11" s="4"/>
      <c r="H11" s="50"/>
      <c r="I11" s="118"/>
      <c r="J11" s="46"/>
      <c r="K11" s="131"/>
      <c r="M11" s="71" t="s">
        <v>3</v>
      </c>
      <c r="N11" s="157" t="str">
        <f t="shared" ref="N11:S11" si="11">IF(N10&lt;".",IF(N10&gt;$Q$2,"sig","n sig"),".")</f>
        <v>sig</v>
      </c>
      <c r="O11" s="65" t="str">
        <f t="shared" si="11"/>
        <v>sig</v>
      </c>
      <c r="P11" s="65" t="str">
        <f t="shared" si="11"/>
        <v>.</v>
      </c>
      <c r="Q11" s="65" t="str">
        <f t="shared" si="11"/>
        <v>.</v>
      </c>
      <c r="R11" s="65" t="str">
        <f t="shared" si="11"/>
        <v>.</v>
      </c>
      <c r="S11" s="66" t="str">
        <f t="shared" si="11"/>
        <v>.</v>
      </c>
      <c r="T11" s="167"/>
      <c r="U11" s="167"/>
      <c r="V11" s="2"/>
      <c r="AO11" s="2" t="str">
        <f>IF(AO10&lt;".",IF(AO10&gt;$AP$5,"sig","n sig"),".")</f>
        <v>.</v>
      </c>
      <c r="AP11" s="2"/>
      <c r="AZ11" s="79"/>
      <c r="BC11" s="2"/>
      <c r="BD11" s="2"/>
      <c r="BE11" s="2"/>
      <c r="BG11" s="88">
        <v>17.525406435188184</v>
      </c>
      <c r="BH11" s="26">
        <v>6</v>
      </c>
      <c r="BI11" s="86" t="e">
        <v>#N/A</v>
      </c>
      <c r="BJ11" s="86" t="e">
        <v>#N/A</v>
      </c>
      <c r="BK11" s="86" t="e">
        <v>#N/A</v>
      </c>
      <c r="BL11" s="87" t="e">
        <v>#N/A</v>
      </c>
      <c r="BM11" s="86"/>
      <c r="BN11" s="86"/>
      <c r="BO11" s="149">
        <f t="shared" si="4"/>
        <v>4</v>
      </c>
      <c r="BP11" s="92">
        <f t="shared" si="5"/>
        <v>0</v>
      </c>
      <c r="BQ11" s="92">
        <f t="shared" si="6"/>
        <v>1</v>
      </c>
      <c r="BR11" s="92">
        <f t="shared" si="7"/>
        <v>0</v>
      </c>
      <c r="BS11" s="92"/>
      <c r="BT11" s="92"/>
      <c r="BU11" s="93"/>
      <c r="BV11" s="158">
        <f t="shared" si="8"/>
        <v>1.9506591041666663</v>
      </c>
      <c r="BW11" s="79" t="e">
        <f>BM23-(SUMPRODUCT(BG23:INDEX($BG23:$BK23,$BF$26),$BG$5:INDEX($BG$5:$BK$5,$BF$26))+IF($BF$27=6,INDEX($BG$5:$BL$5,$BF$26+1),0))</f>
        <v>#VALUE!</v>
      </c>
      <c r="ADZ11" s="26"/>
      <c r="AEA11" s="26"/>
      <c r="AEB11" s="26"/>
      <c r="AEC11" s="26"/>
      <c r="AED11" s="26"/>
      <c r="AEE11" s="26"/>
      <c r="AEF11" s="150"/>
      <c r="AEG11" s="150"/>
      <c r="AEH11" s="26"/>
      <c r="AEI11" s="26"/>
      <c r="AEJ11" s="151"/>
      <c r="AEK11" s="26"/>
      <c r="AEL11" s="26"/>
      <c r="AEM11" s="26"/>
    </row>
    <row r="12" spans="2:819" ht="15.75" thickBot="1" x14ac:dyDescent="0.3">
      <c r="C12" s="20">
        <v>0</v>
      </c>
      <c r="D12" s="21">
        <f t="shared" ref="D12:D13" si="12">$D$9+$C$9*C12</f>
        <v>9.5</v>
      </c>
      <c r="E12" s="20">
        <v>0</v>
      </c>
      <c r="F12" s="21">
        <f t="shared" ref="F12:F13" si="13">$F$9+$E$9*E12</f>
        <v>1000</v>
      </c>
      <c r="G12" s="4"/>
      <c r="H12" s="51"/>
      <c r="I12" s="52"/>
      <c r="J12" s="47"/>
      <c r="K12" s="132"/>
      <c r="U12" s="100"/>
      <c r="AC12" s="100"/>
      <c r="AD12" s="100"/>
      <c r="AO12" s="54"/>
      <c r="AP12" s="2"/>
      <c r="AZ12" s="79"/>
      <c r="BC12" s="2"/>
      <c r="BD12" s="2"/>
      <c r="BE12" s="2"/>
      <c r="BG12" s="112">
        <v>7.0111679334404169</v>
      </c>
      <c r="BH12" s="113">
        <v>2.4003441949385405</v>
      </c>
      <c r="BI12" s="114" t="e">
        <v>#N/A</v>
      </c>
      <c r="BJ12" s="114" t="e">
        <v>#N/A</v>
      </c>
      <c r="BK12" s="114" t="e">
        <v>#N/A</v>
      </c>
      <c r="BL12" s="115" t="e">
        <v>#N/A</v>
      </c>
      <c r="BM12" s="86"/>
      <c r="BN12" s="86"/>
      <c r="BO12" s="149">
        <f t="shared" si="4"/>
        <v>5</v>
      </c>
      <c r="BP12" s="92">
        <f t="shared" si="5"/>
        <v>0</v>
      </c>
      <c r="BQ12" s="92">
        <f t="shared" si="6"/>
        <v>-1</v>
      </c>
      <c r="BR12" s="92">
        <f t="shared" si="7"/>
        <v>0</v>
      </c>
      <c r="BS12" s="92"/>
      <c r="BT12" s="92"/>
      <c r="BU12" s="93"/>
      <c r="BV12" s="145">
        <f t="shared" si="8"/>
        <v>3.6977499999999983</v>
      </c>
      <c r="BW12" s="79" t="e">
        <f>BM24-(SUMPRODUCT(BG24:INDEX($BG24:$BK24,$BF$26),$BG$5:INDEX($BG$5:$BK$5,$BF$26))+IF($BF$27=6,INDEX($BG$5:$BL$5,$BF$26+1),0))</f>
        <v>#VALUE!</v>
      </c>
      <c r="ADZ12" s="26"/>
      <c r="AEA12" s="26"/>
      <c r="AEB12" s="26"/>
      <c r="AEC12" s="26"/>
      <c r="AED12" s="26"/>
      <c r="AEE12" s="26"/>
      <c r="AEF12" s="150"/>
      <c r="AEG12" s="150"/>
      <c r="AEH12" s="26"/>
      <c r="AEI12" s="26"/>
      <c r="AEJ12" s="151"/>
      <c r="AEK12" s="26"/>
      <c r="AEL12" s="26"/>
      <c r="AEM12" s="26"/>
    </row>
    <row r="13" spans="2:819" ht="15.75" thickBot="1" x14ac:dyDescent="0.3">
      <c r="C13" s="20">
        <v>1</v>
      </c>
      <c r="D13" s="21">
        <f t="shared" si="12"/>
        <v>10</v>
      </c>
      <c r="E13" s="20">
        <v>1</v>
      </c>
      <c r="F13" s="21">
        <f t="shared" si="13"/>
        <v>500</v>
      </c>
      <c r="G13" s="2"/>
      <c r="U13" s="61"/>
      <c r="AC13" s="61"/>
      <c r="AD13" s="61"/>
      <c r="AO13" s="2"/>
      <c r="AP13" s="62"/>
      <c r="AZ13" s="79"/>
      <c r="BC13" s="2"/>
      <c r="BD13" s="62"/>
      <c r="BE13" s="62"/>
      <c r="BF13" s="29" t="s">
        <v>9</v>
      </c>
      <c r="BG13" s="110">
        <f>ABS(BG8/BG9)</f>
        <v>4.1863356811402737</v>
      </c>
      <c r="BH13" s="41">
        <f t="shared" ref="BH13:BK13" si="14">ABS(BH8/BH9)</f>
        <v>11.030606269973109</v>
      </c>
      <c r="BI13" s="41" t="e">
        <f t="shared" si="14"/>
        <v>#N/A</v>
      </c>
      <c r="BJ13" s="41" t="e">
        <f t="shared" si="14"/>
        <v>#N/A</v>
      </c>
      <c r="BK13" s="109" t="e">
        <f t="shared" si="14"/>
        <v>#N/A</v>
      </c>
      <c r="BL13" s="41"/>
      <c r="BM13" s="41"/>
      <c r="BN13" s="41"/>
      <c r="BO13" s="149">
        <f t="shared" si="4"/>
        <v>6</v>
      </c>
      <c r="BP13" s="92">
        <f t="shared" si="5"/>
        <v>0</v>
      </c>
      <c r="BQ13" s="92">
        <f t="shared" si="6"/>
        <v>1</v>
      </c>
      <c r="BR13" s="92">
        <f t="shared" si="7"/>
        <v>0</v>
      </c>
      <c r="BS13" s="92"/>
      <c r="BT13" s="92"/>
      <c r="BU13" s="93"/>
      <c r="BV13" s="145">
        <f t="shared" si="8"/>
        <v>2.5739409999999996</v>
      </c>
      <c r="BW13" s="79" t="e">
        <f>BM25-(SUMPRODUCT(BG25:INDEX($BG25:$BK25,$BF$26),$BG$5:INDEX($BG$5:$BK$5,$BF$26))+IF($BF$27=6,INDEX($BG$5:$BL$5,$BF$26+1),0))</f>
        <v>#VALUE!</v>
      </c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</row>
    <row r="14" spans="2:819" ht="15.75" thickBot="1" x14ac:dyDescent="0.3">
      <c r="C14" s="20"/>
      <c r="D14" s="21"/>
      <c r="E14" s="18"/>
      <c r="F14" s="23"/>
      <c r="G14" s="2"/>
      <c r="H14" s="3"/>
      <c r="M14" s="72" t="s">
        <v>32</v>
      </c>
      <c r="N14" s="72" t="s">
        <v>33</v>
      </c>
      <c r="O14" s="72" t="s">
        <v>34</v>
      </c>
      <c r="Q14" s="2"/>
      <c r="R14" s="100"/>
      <c r="S14" s="100"/>
      <c r="AD14" s="94"/>
      <c r="AO14" s="94"/>
      <c r="AP14" s="62"/>
      <c r="AZ14" s="79"/>
      <c r="BC14" s="2"/>
      <c r="BD14" s="62"/>
      <c r="BE14" s="62"/>
      <c r="BF14" s="30" t="s">
        <v>10</v>
      </c>
      <c r="BG14" s="29" t="str">
        <f>IF($BG$13&lt;&gt;"erro",IF(BG13&gt;$BG15,"sign","nsig"),"erro")</f>
        <v>sign</v>
      </c>
      <c r="BH14" s="29" t="str">
        <f t="shared" ref="BH14:BK14" si="15">IF($BG$13&lt;&gt;"erro",IF(BH13&gt;$BG15,"sign","nsig"),"erro")</f>
        <v>sign</v>
      </c>
      <c r="BI14" s="29" t="e">
        <f t="shared" si="15"/>
        <v>#N/A</v>
      </c>
      <c r="BJ14" s="29" t="e">
        <f t="shared" si="15"/>
        <v>#N/A</v>
      </c>
      <c r="BK14" s="29" t="e">
        <f t="shared" si="15"/>
        <v>#N/A</v>
      </c>
      <c r="BL14" s="26"/>
      <c r="BM14" s="26"/>
      <c r="BN14" s="26"/>
      <c r="BO14" s="149">
        <f t="shared" si="4"/>
        <v>7</v>
      </c>
      <c r="BP14" s="92">
        <f t="shared" si="5"/>
        <v>0</v>
      </c>
      <c r="BQ14" s="92">
        <f t="shared" si="6"/>
        <v>-1</v>
      </c>
      <c r="BR14" s="92">
        <f t="shared" si="7"/>
        <v>0</v>
      </c>
      <c r="BS14" s="92"/>
      <c r="BT14" s="92"/>
      <c r="BU14" s="93"/>
      <c r="BV14" s="145">
        <f t="shared" si="8"/>
        <v>3.5</v>
      </c>
      <c r="BW14" s="79" t="e">
        <f>BM26-(SUMPRODUCT(BG26:INDEX($BG26:$BK26,$BF$26),$BG$5:INDEX($BG$5:$BK$5,$BF$26))+IF($BF$27=6,INDEX($BG$5:$BL$5,$BF$26+1),0))</f>
        <v>#VALUE!</v>
      </c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</row>
    <row r="15" spans="2:819" ht="15.75" thickBot="1" x14ac:dyDescent="0.3">
      <c r="C15" s="20"/>
      <c r="D15" s="21"/>
      <c r="E15" s="18"/>
      <c r="F15" s="23"/>
      <c r="G15" s="2"/>
      <c r="H15" s="3"/>
      <c r="M15" s="73">
        <v>0</v>
      </c>
      <c r="N15" s="73">
        <v>1</v>
      </c>
      <c r="O15" s="189">
        <v>0</v>
      </c>
      <c r="P15" s="189">
        <v>1</v>
      </c>
      <c r="Q15" s="61"/>
      <c r="R15" s="61"/>
      <c r="S15" s="61"/>
      <c r="AD15" s="99"/>
      <c r="AO15" s="116"/>
      <c r="AP15" s="4"/>
      <c r="AZ15" s="79"/>
      <c r="BC15" s="2"/>
      <c r="BD15" s="4"/>
      <c r="BE15" s="4"/>
      <c r="BF15" s="30" t="s">
        <v>11</v>
      </c>
      <c r="BG15" s="89">
        <f>_xlfn.T.INV.2T(0.05,BK15)</f>
        <v>2.4469118511449697</v>
      </c>
      <c r="BH15" s="42" t="s">
        <v>16</v>
      </c>
      <c r="BI15" s="42">
        <f>T3</f>
        <v>8</v>
      </c>
      <c r="BJ15" s="29" t="s">
        <v>17</v>
      </c>
      <c r="BK15" s="90">
        <f>T3-COUNT(BG8:BN8)</f>
        <v>6</v>
      </c>
      <c r="BL15" s="29" t="s">
        <v>18</v>
      </c>
      <c r="BM15" s="32">
        <v>0.05</v>
      </c>
      <c r="BO15" s="149">
        <f t="shared" si="4"/>
        <v>8</v>
      </c>
      <c r="BP15" s="92">
        <f t="shared" si="5"/>
        <v>0</v>
      </c>
      <c r="BQ15" s="92">
        <f t="shared" si="6"/>
        <v>2</v>
      </c>
      <c r="BR15" s="92">
        <f t="shared" si="7"/>
        <v>0</v>
      </c>
      <c r="BS15" s="92"/>
      <c r="BT15" s="92"/>
      <c r="BU15" s="93"/>
      <c r="BV15" s="145">
        <f t="shared" si="8"/>
        <v>0</v>
      </c>
      <c r="BW15" s="79" t="e">
        <f>BM27-(SUMPRODUCT(BG27:INDEX($BG27:$BK27,$BF$26),$BG$5:INDEX($BG$5:$BK$5,$BF$26))+IF($BF$27=6,INDEX($BG$5:$BL$5,$BF$26+1),0))</f>
        <v>#VALUE!</v>
      </c>
    </row>
    <row r="16" spans="2:819" ht="15.75" thickBot="1" x14ac:dyDescent="0.3">
      <c r="B16" s="38"/>
      <c r="C16" s="39"/>
      <c r="D16" s="40" t="s">
        <v>14</v>
      </c>
      <c r="E16" s="39" t="s">
        <v>15</v>
      </c>
      <c r="F16" s="32">
        <v>0</v>
      </c>
      <c r="M16" s="164" t="s">
        <v>6</v>
      </c>
      <c r="N16" s="165" t="s">
        <v>7</v>
      </c>
      <c r="O16" s="166" t="s">
        <v>8</v>
      </c>
      <c r="P16" s="190" t="s">
        <v>35</v>
      </c>
      <c r="Q16" s="2"/>
      <c r="R16" s="187"/>
      <c r="S16" s="188"/>
      <c r="AD16" s="99"/>
      <c r="AO16" s="116"/>
      <c r="AP16" s="2"/>
      <c r="AZ16" s="79"/>
      <c r="BC16" s="2"/>
      <c r="BD16" s="2"/>
      <c r="BE16" s="2"/>
      <c r="BO16" s="149">
        <f t="shared" si="4"/>
        <v>9</v>
      </c>
      <c r="BP16" s="92">
        <f t="shared" si="5"/>
        <v>0</v>
      </c>
      <c r="BQ16" s="92">
        <f t="shared" si="6"/>
        <v>2</v>
      </c>
      <c r="BR16" s="92">
        <f t="shared" si="7"/>
        <v>0</v>
      </c>
      <c r="BS16" s="92"/>
      <c r="BT16" s="92"/>
      <c r="BU16" s="93"/>
      <c r="BV16" s="145">
        <f t="shared" si="8"/>
        <v>0</v>
      </c>
      <c r="BW16" s="79" t="e">
        <f>BM28-(SUMPRODUCT(BG28:INDEX($BG28:$BK28,$BF$26),$BG$5:INDEX($BG$5:$BK$5,$BF$26))+IF($BF$27=6,INDEX($BG$5:$BL$5,$BF$26+1),0))</f>
        <v>#VALUE!</v>
      </c>
    </row>
    <row r="17" spans="1:75" ht="15.75" thickBot="1" x14ac:dyDescent="0.3">
      <c r="AD17" s="99"/>
      <c r="AO17" s="116"/>
      <c r="AP17" s="2"/>
      <c r="AZ17" s="79"/>
      <c r="BC17" s="2"/>
      <c r="BD17" s="2"/>
      <c r="BE17" s="54"/>
      <c r="BF17" s="54"/>
      <c r="BG17" s="1">
        <f>BF26</f>
        <v>1</v>
      </c>
      <c r="BH17" s="1">
        <f>IF(BG17&gt;1,BG17-1,0)</f>
        <v>0</v>
      </c>
      <c r="BI17" s="1">
        <f t="shared" ref="BI17:BJ17" si="16">IF(BH17&gt;1,BH17-1,0)</f>
        <v>0</v>
      </c>
      <c r="BJ17" s="1">
        <f t="shared" si="16"/>
        <v>0</v>
      </c>
      <c r="BM17" s="54"/>
      <c r="BO17" s="149">
        <f t="shared" si="4"/>
        <v>10</v>
      </c>
      <c r="BP17" s="92">
        <f t="shared" si="5"/>
        <v>0</v>
      </c>
      <c r="BQ17" s="92">
        <f t="shared" si="6"/>
        <v>0</v>
      </c>
      <c r="BR17" s="92">
        <f t="shared" si="7"/>
        <v>0</v>
      </c>
      <c r="BS17" s="92"/>
      <c r="BT17" s="92"/>
      <c r="BU17" s="93"/>
      <c r="BV17" s="145">
        <f t="shared" ref="BV17:BV23" si="17">G31</f>
        <v>0</v>
      </c>
      <c r="BW17" s="79" t="e">
        <f>BM29-(SUMPRODUCT(BG29:INDEX($BG29:$BK29,$BF$26),$BG$5:INDEX($BG$5:$BK$5,$BF$26))+IF($BF$27=6,INDEX($BG$5:$BL$5,$BF$26+1),0))</f>
        <v>#VALUE!</v>
      </c>
    </row>
    <row r="18" spans="1:75" ht="15.75" thickBot="1" x14ac:dyDescent="0.3">
      <c r="C18" s="29" t="s">
        <v>20</v>
      </c>
      <c r="D18" s="35"/>
      <c r="E18" s="18"/>
      <c r="F18" s="23"/>
      <c r="AD18" s="99"/>
      <c r="AO18" s="116"/>
      <c r="AP18" s="2"/>
      <c r="AZ18" s="79"/>
      <c r="BC18" s="2"/>
      <c r="BD18" s="2"/>
      <c r="BE18" s="2"/>
      <c r="BF18" s="2"/>
      <c r="BG18" s="1">
        <f>IFERROR(INDEX($BG$8:$BL$8,BG17),0)</f>
        <v>-0.84261004590636179</v>
      </c>
      <c r="BH18" s="1">
        <f t="shared" ref="BH18:BJ18" si="18">IFERROR(INDEX($BG$8:$BL$8,BH17),0)</f>
        <v>2.6034144765498208</v>
      </c>
      <c r="BI18" s="1">
        <f t="shared" si="18"/>
        <v>0</v>
      </c>
      <c r="BJ18" s="1">
        <f t="shared" si="18"/>
        <v>0</v>
      </c>
      <c r="BM18" s="2"/>
      <c r="BO18" s="149">
        <f t="shared" si="4"/>
        <v>11</v>
      </c>
      <c r="BP18" s="92">
        <f t="shared" si="5"/>
        <v>0</v>
      </c>
      <c r="BQ18" s="92">
        <f t="shared" si="6"/>
        <v>2</v>
      </c>
      <c r="BR18" s="92">
        <f t="shared" si="7"/>
        <v>0</v>
      </c>
      <c r="BS18" s="92"/>
      <c r="BT18" s="92"/>
      <c r="BU18" s="93"/>
      <c r="BV18" s="145">
        <f t="shared" si="17"/>
        <v>0</v>
      </c>
      <c r="BW18" s="79" t="e">
        <f>BM30-(SUMPRODUCT(BG30:INDEX($BG30:$BK30,$BF$26),$BG$5:INDEX($BG$5:$BK$5,$BF$26))+IF($BF$27=6,INDEX($BG$5:$BL$5,$BF$26+1),0))</f>
        <v>#VALUE!</v>
      </c>
    </row>
    <row r="19" spans="1:75" ht="15.75" thickBot="1" x14ac:dyDescent="0.3">
      <c r="C19" s="191" t="s">
        <v>21</v>
      </c>
      <c r="D19" s="192"/>
      <c r="E19" s="191" t="s">
        <v>19</v>
      </c>
      <c r="F19" s="193"/>
      <c r="AD19" s="99"/>
      <c r="AO19" s="116"/>
      <c r="AP19" s="94"/>
      <c r="AZ19" s="79"/>
      <c r="BE19" s="76" t="s">
        <v>4</v>
      </c>
      <c r="BF19" s="74" t="s">
        <v>41</v>
      </c>
      <c r="BG19" s="77">
        <f>IFERROR(MATCH(1,$BF$20:$BF$25,0),0)</f>
        <v>2</v>
      </c>
      <c r="BH19" s="78">
        <f>IFERROR(MATCH(1,(INDEX($BF$20:$BF$25,BG19+1):$BF$25),0)+BG$19,"??")</f>
        <v>4</v>
      </c>
      <c r="BI19" s="78" t="str">
        <f>IFERROR(MATCH(1,(INDEX($BF$20:$BF$25,BH19+1):$BF$25),0)+BH$19,"??")</f>
        <v>??</v>
      </c>
      <c r="BJ19" s="78" t="str">
        <f>IFERROR(MATCH(1,(INDEX($BF$20:$BF$25,BI19+1):$BF$25),0)+BI$19,"??")</f>
        <v>??</v>
      </c>
      <c r="BK19" s="78"/>
      <c r="BL19" s="78"/>
      <c r="BM19" s="76" t="s">
        <v>42</v>
      </c>
      <c r="BO19" s="149">
        <f t="shared" si="4"/>
        <v>12</v>
      </c>
      <c r="BP19" s="92">
        <f t="shared" si="5"/>
        <v>0</v>
      </c>
      <c r="BQ19" s="92">
        <f t="shared" si="6"/>
        <v>2</v>
      </c>
      <c r="BR19" s="92">
        <f t="shared" si="7"/>
        <v>0</v>
      </c>
      <c r="BS19" s="92"/>
      <c r="BT19" s="92"/>
      <c r="BU19" s="93"/>
      <c r="BV19" s="145">
        <f t="shared" si="17"/>
        <v>0</v>
      </c>
      <c r="BW19" s="79" t="e">
        <f>BM31-(SUMPRODUCT(BG31:INDEX($BG31:$BK31,$BF$26),$BG$5:INDEX($BG$5:$BK$5,$BF$26))+IF($BF$27=6,INDEX($BG$5:$BL$5,$BF$26+1),0))</f>
        <v>#VALUE!</v>
      </c>
    </row>
    <row r="20" spans="1:75" x14ac:dyDescent="0.25">
      <c r="B20" s="24" t="s">
        <v>3</v>
      </c>
      <c r="E20" s="18"/>
      <c r="F20" s="26"/>
      <c r="G20" s="174" t="s">
        <v>36</v>
      </c>
      <c r="H20" s="174" t="s">
        <v>57</v>
      </c>
      <c r="AD20" s="99"/>
      <c r="AO20" s="116"/>
      <c r="AP20" s="94"/>
      <c r="AZ20" s="79"/>
      <c r="BE20" s="80">
        <v>1</v>
      </c>
      <c r="BF20" s="101">
        <f>INDEX($M$15:$R$15,1,BE20)</f>
        <v>0</v>
      </c>
      <c r="BG20" s="79">
        <f>IFERROR(INDEX($BP$8:$BR$23,$BO8,BG$19),".")</f>
        <v>1</v>
      </c>
      <c r="BH20" s="79" t="str">
        <f t="shared" ref="BH20:BI20" si="19">IFERROR(INDEX($BP$8:$BR$23,$BO8,BH$19),".")</f>
        <v>.</v>
      </c>
      <c r="BI20" s="79" t="str">
        <f t="shared" si="19"/>
        <v>.</v>
      </c>
      <c r="BJ20" s="79"/>
      <c r="BK20" s="79"/>
      <c r="BM20" s="79">
        <f t="shared" ref="BM20:BM28" si="20">BV8</f>
        <v>2.21137607051282</v>
      </c>
      <c r="BO20" s="149">
        <f t="shared" si="4"/>
        <v>13</v>
      </c>
      <c r="BP20" s="92">
        <f t="shared" si="5"/>
        <v>0</v>
      </c>
      <c r="BQ20" s="92">
        <f t="shared" si="6"/>
        <v>2</v>
      </c>
      <c r="BR20" s="92">
        <f t="shared" si="7"/>
        <v>0</v>
      </c>
      <c r="BS20" s="92"/>
      <c r="BT20" s="92"/>
      <c r="BU20" s="93"/>
      <c r="BV20" s="145">
        <f t="shared" si="17"/>
        <v>0</v>
      </c>
      <c r="BW20" s="79" t="e">
        <f>BM32-(SUMPRODUCT(BG32:INDEX($BG32:$BK32,$BF$26),$BG$5:INDEX($BG$5:$BK$5,$BF$26))+IF($BF$27=6,INDEX($BG$5:$BL$5,$BF$26+1),0))</f>
        <v>#VALUE!</v>
      </c>
    </row>
    <row r="21" spans="1:75" ht="15.75" thickBot="1" x14ac:dyDescent="0.3">
      <c r="A21" s="1" t="s">
        <v>4</v>
      </c>
      <c r="B21" s="138" t="s">
        <v>5</v>
      </c>
      <c r="C21" s="45" t="s">
        <v>6</v>
      </c>
      <c r="D21" s="31" t="s">
        <v>7</v>
      </c>
      <c r="E21" s="1" t="str">
        <f>C3</f>
        <v>homogeneização</v>
      </c>
      <c r="F21" s="1" t="str">
        <f>E3</f>
        <v>tempo</v>
      </c>
      <c r="AD21" s="99"/>
      <c r="AO21" s="116"/>
      <c r="AP21" s="95"/>
      <c r="AZ21" s="79"/>
      <c r="BE21" s="80">
        <v>2</v>
      </c>
      <c r="BF21" s="36">
        <f>INDEX($M$15:$R$15,1,BE21)</f>
        <v>1</v>
      </c>
      <c r="BG21" s="79">
        <f t="shared" ref="BG21:BI21" si="21">IFERROR(INDEX($BP$8:$BR$23,$BO9,BG$19),".")</f>
        <v>-1</v>
      </c>
      <c r="BH21" s="79" t="str">
        <f t="shared" si="21"/>
        <v>.</v>
      </c>
      <c r="BI21" s="79" t="str">
        <f t="shared" si="21"/>
        <v>.</v>
      </c>
      <c r="BJ21" s="79"/>
      <c r="BK21" s="79"/>
      <c r="BM21" s="79">
        <f t="shared" si="20"/>
        <v>2.6812263750000001</v>
      </c>
      <c r="BO21" s="149">
        <f t="shared" si="4"/>
        <v>14</v>
      </c>
      <c r="BP21" s="92">
        <f t="shared" si="5"/>
        <v>0</v>
      </c>
      <c r="BQ21" s="92">
        <f t="shared" si="6"/>
        <v>2</v>
      </c>
      <c r="BR21" s="92">
        <f t="shared" si="7"/>
        <v>0</v>
      </c>
      <c r="BS21" s="92"/>
      <c r="BT21" s="92"/>
      <c r="BU21" s="93"/>
      <c r="BV21" s="145">
        <f t="shared" si="17"/>
        <v>0</v>
      </c>
      <c r="BW21" s="79" t="e">
        <f>BM33-(SUMPRODUCT(BG33:INDEX($BG33:$BK33,$BF$26),$BG$5:INDEX($BG$5:$BK$5,$BF$26))+IF($BF$27=6,INDEX($BG$5:$BL$5,$BF$26+1),0))</f>
        <v>#VALUE!</v>
      </c>
    </row>
    <row r="22" spans="1:75" x14ac:dyDescent="0.25">
      <c r="B22" s="139">
        <v>1</v>
      </c>
      <c r="C22" s="129">
        <f>(E22-$D$9)/$C$9</f>
        <v>-1</v>
      </c>
      <c r="D22" s="185">
        <f>(F22-$F$9)/$E$9</f>
        <v>1</v>
      </c>
      <c r="E22" s="142">
        <v>9</v>
      </c>
      <c r="F22" s="96">
        <v>500</v>
      </c>
      <c r="G22" s="96">
        <v>2.21137607051282</v>
      </c>
      <c r="H22" s="152">
        <f>BM20-(SUMPRODUCT(BG20:INDEX($BG20:$BK20,$BF$26),$BG$18:INDEX($BG$18:$BK$18,$BF$26))+IF($BF$27=4,INDEX($BG$18:$BL$18,$BF$26+1),0))</f>
        <v>0.45057163986936111</v>
      </c>
      <c r="AD22" s="99"/>
      <c r="AO22" s="116"/>
      <c r="BE22" s="80">
        <v>3</v>
      </c>
      <c r="BF22" s="36">
        <f>INDEX($M$15:$R$15,1,BE22)</f>
        <v>0</v>
      </c>
      <c r="BG22" s="79">
        <f t="shared" ref="BG22:BI22" si="22">IFERROR(INDEX($BP$8:$BR$23,$BO10,BG$19),".")</f>
        <v>1</v>
      </c>
      <c r="BH22" s="79" t="str">
        <f t="shared" si="22"/>
        <v>.</v>
      </c>
      <c r="BI22" s="79" t="str">
        <f t="shared" si="22"/>
        <v>.</v>
      </c>
      <c r="BJ22" s="79"/>
      <c r="BK22" s="79"/>
      <c r="BM22" s="79">
        <f t="shared" si="20"/>
        <v>1.6845331249999995</v>
      </c>
      <c r="BO22" s="149">
        <f t="shared" si="4"/>
        <v>15</v>
      </c>
      <c r="BP22" s="92">
        <f t="shared" si="5"/>
        <v>0</v>
      </c>
      <c r="BQ22" s="92">
        <f t="shared" si="6"/>
        <v>2</v>
      </c>
      <c r="BR22" s="92">
        <f t="shared" si="7"/>
        <v>0</v>
      </c>
      <c r="BS22" s="92"/>
      <c r="BT22" s="92"/>
      <c r="BU22" s="93"/>
      <c r="BV22" s="145">
        <f t="shared" si="17"/>
        <v>0</v>
      </c>
      <c r="BW22" s="79" t="e">
        <f>BM34-(SUMPRODUCT(BG34:INDEX($BG34:$BK34,$BF$26),$BG$5:INDEX($BG$5:$BK$5,$BF$26))+IF($BF$27=6,INDEX($BG$5:$BL$5,$BF$26+1),0))</f>
        <v>#VALUE!</v>
      </c>
    </row>
    <row r="23" spans="1:75" x14ac:dyDescent="0.25">
      <c r="B23" s="140">
        <f>B22+1</f>
        <v>2</v>
      </c>
      <c r="C23" s="50">
        <f t="shared" ref="C23:C37" si="23">(E23-$D$9)/$C$9</f>
        <v>-1</v>
      </c>
      <c r="D23" s="186">
        <f t="shared" ref="D23:D37" si="24">(F23-$F$9)/$E$9</f>
        <v>-1</v>
      </c>
      <c r="E23" s="142">
        <v>9</v>
      </c>
      <c r="F23" s="97">
        <v>1500</v>
      </c>
      <c r="G23" s="97">
        <v>2.6812263750000001</v>
      </c>
      <c r="H23" s="152">
        <f>BM21-(SUMPRODUCT(BG21:INDEX($BG21:$BK21,$BF$26),$BG$18:INDEX($BG$18:$BK$18,$BF$26))+IF($BF$27=4,INDEX($BG$18:$BL$18,$BF$26+1),0))</f>
        <v>-0.76479814745618269</v>
      </c>
      <c r="T23" s="34"/>
      <c r="AD23" s="2"/>
      <c r="BE23" s="80">
        <v>4</v>
      </c>
      <c r="BF23" s="36">
        <f t="shared" ref="BF23" si="25">INDEX($M$15:$R$15,1,BE23)</f>
        <v>1</v>
      </c>
      <c r="BG23" s="79">
        <f t="shared" ref="BG23:BI23" si="26">IFERROR(INDEX($BP$8:$BR$23,$BO11,BG$19),".")</f>
        <v>1</v>
      </c>
      <c r="BH23" s="79" t="str">
        <f t="shared" si="26"/>
        <v>.</v>
      </c>
      <c r="BI23" s="79" t="str">
        <f t="shared" si="26"/>
        <v>.</v>
      </c>
      <c r="BJ23" s="79"/>
      <c r="BK23" s="79"/>
      <c r="BM23" s="79">
        <f t="shared" si="20"/>
        <v>1.9506591041666663</v>
      </c>
      <c r="BO23" s="149">
        <f t="shared" si="4"/>
        <v>16</v>
      </c>
      <c r="BP23" s="92">
        <f t="shared" si="5"/>
        <v>0</v>
      </c>
      <c r="BQ23" s="92">
        <f t="shared" si="6"/>
        <v>2</v>
      </c>
      <c r="BR23" s="92">
        <f t="shared" si="7"/>
        <v>0</v>
      </c>
      <c r="BS23" s="92"/>
      <c r="BT23" s="92"/>
      <c r="BU23" s="93"/>
      <c r="BV23" s="145">
        <f t="shared" si="17"/>
        <v>0</v>
      </c>
      <c r="BW23" s="79" t="e">
        <f>BM35-(SUMPRODUCT(BG35:INDEX($BG35:$BK35,$BF$26),$BG$5:INDEX($BG$5:$BK$5,$BF$26))+IF($BF$27=6,INDEX($BG$5:$BL$5,$BF$26+1),0))</f>
        <v>#VALUE!</v>
      </c>
    </row>
    <row r="24" spans="1:75" x14ac:dyDescent="0.25">
      <c r="B24" s="140">
        <f t="shared" ref="B24:B37" si="27">B23+1</f>
        <v>3</v>
      </c>
      <c r="C24" s="50">
        <f t="shared" si="23"/>
        <v>1</v>
      </c>
      <c r="D24" s="186">
        <f t="shared" si="24"/>
        <v>1</v>
      </c>
      <c r="E24" s="142">
        <v>10</v>
      </c>
      <c r="F24" s="97">
        <v>500</v>
      </c>
      <c r="G24" s="97">
        <v>1.6845331249999995</v>
      </c>
      <c r="H24" s="152">
        <f>BM22-(SUMPRODUCT(BG22:INDEX($BG22:$BK22,$BF$26),$BG$18:INDEX($BG$18:$BK$18,$BF$26))+IF($BF$27=4,INDEX($BG$18:$BL$18,$BF$26+1),0))</f>
        <v>-7.6271305643459408E-2</v>
      </c>
      <c r="T24" s="34"/>
      <c r="AD24" s="2"/>
      <c r="BE24" s="80"/>
      <c r="BF24" s="54"/>
      <c r="BG24" s="79">
        <f t="shared" ref="BG24:BI24" si="28">IFERROR(INDEX($BP$8:$BR$23,$BO12,BG$19),".")</f>
        <v>-1</v>
      </c>
      <c r="BH24" s="79" t="str">
        <f t="shared" si="28"/>
        <v>.</v>
      </c>
      <c r="BI24" s="79" t="str">
        <f t="shared" si="28"/>
        <v>.</v>
      </c>
      <c r="BJ24" s="79"/>
      <c r="BK24" s="79"/>
      <c r="BM24" s="79">
        <f t="shared" si="20"/>
        <v>3.6977499999999983</v>
      </c>
    </row>
    <row r="25" spans="1:75" x14ac:dyDescent="0.25">
      <c r="B25" s="140">
        <f t="shared" si="27"/>
        <v>4</v>
      </c>
      <c r="C25" s="50">
        <f t="shared" ref="C25:C30" si="29">(E25-$D$9)/$C$9</f>
        <v>-1</v>
      </c>
      <c r="D25" s="186">
        <f t="shared" ref="D25:D30" si="30">(F25-$F$9)/$E$9</f>
        <v>1</v>
      </c>
      <c r="E25" s="142">
        <v>9</v>
      </c>
      <c r="F25" s="97">
        <v>500</v>
      </c>
      <c r="G25" s="97">
        <v>1.9506591041666663</v>
      </c>
      <c r="H25" s="152">
        <f>BM23-(SUMPRODUCT(BG23:INDEX($BG23:$BK23,$BF$26),$BG$18:INDEX($BG$18:$BK$18,$BF$26))+IF($BF$27=4,INDEX($BG$18:$BL$18,$BF$26+1),0))</f>
        <v>0.1898546735232074</v>
      </c>
      <c r="J25" s="2"/>
      <c r="K25" s="33"/>
      <c r="L25" s="33"/>
      <c r="M25" s="34"/>
      <c r="T25" s="34"/>
      <c r="AD25" s="2"/>
      <c r="BE25" s="80"/>
      <c r="BF25" s="54"/>
      <c r="BG25" s="79">
        <f t="shared" ref="BG25:BI25" si="31">IFERROR(INDEX($BP$8:$BR$23,$BO13,BG$19),".")</f>
        <v>1</v>
      </c>
      <c r="BH25" s="79" t="str">
        <f t="shared" si="31"/>
        <v>.</v>
      </c>
      <c r="BI25" s="79" t="str">
        <f t="shared" si="31"/>
        <v>.</v>
      </c>
      <c r="BJ25" s="79"/>
      <c r="BK25" s="79"/>
      <c r="BM25" s="79">
        <f t="shared" si="20"/>
        <v>2.5739409999999996</v>
      </c>
    </row>
    <row r="26" spans="1:75" x14ac:dyDescent="0.25">
      <c r="B26" s="140">
        <f t="shared" si="27"/>
        <v>5</v>
      </c>
      <c r="C26" s="50">
        <f t="shared" si="29"/>
        <v>-1</v>
      </c>
      <c r="D26" s="186">
        <f t="shared" si="30"/>
        <v>-1</v>
      </c>
      <c r="E26" s="142">
        <v>9</v>
      </c>
      <c r="F26" s="44">
        <v>1500</v>
      </c>
      <c r="G26" s="97">
        <v>3.6977499999999983</v>
      </c>
      <c r="H26" s="152">
        <f>BM24-(SUMPRODUCT(BG24:INDEX($BG24:$BK24,$BF$26),$BG$18:INDEX($BG$18:$BK$18,$BF$26))+IF($BF$27=4,INDEX($BG$18:$BL$18,$BF$26+1),0))</f>
        <v>0.25172547754381558</v>
      </c>
      <c r="J26" s="2"/>
      <c r="K26" s="33"/>
      <c r="L26" s="33"/>
      <c r="M26" s="34"/>
      <c r="T26" s="34"/>
      <c r="AD26" s="2"/>
      <c r="BE26" s="117" t="s">
        <v>45</v>
      </c>
      <c r="BF26" s="54">
        <f>IF(MAX($BG$19:$BL$19)=4,BF28-1,BF28)</f>
        <v>1</v>
      </c>
      <c r="BG26" s="79">
        <f t="shared" ref="BG26:BI26" si="32">IFERROR(INDEX($BP$8:$BR$23,$BO14,BG$19),".")</f>
        <v>-1</v>
      </c>
      <c r="BH26" s="79" t="str">
        <f t="shared" si="32"/>
        <v>.</v>
      </c>
      <c r="BI26" s="79" t="str">
        <f t="shared" si="32"/>
        <v>.</v>
      </c>
      <c r="BJ26" s="79"/>
      <c r="BK26" s="79"/>
      <c r="BM26" s="79">
        <f t="shared" si="20"/>
        <v>3.5</v>
      </c>
    </row>
    <row r="27" spans="1:75" x14ac:dyDescent="0.25">
      <c r="B27" s="140">
        <f t="shared" si="27"/>
        <v>6</v>
      </c>
      <c r="C27" s="50">
        <f t="shared" si="29"/>
        <v>1</v>
      </c>
      <c r="D27" s="186">
        <f t="shared" si="30"/>
        <v>1</v>
      </c>
      <c r="E27" s="43">
        <v>10</v>
      </c>
      <c r="F27" s="44">
        <v>500</v>
      </c>
      <c r="G27" s="136">
        <v>2.5739409999999996</v>
      </c>
      <c r="H27" s="152">
        <f>BM25-(SUMPRODUCT(BG25:INDEX($BG25:$BK25,$BF$26),$BG$18:INDEX($BG$18:$BK$18,$BF$26))+IF($BF$27=4,INDEX($BG$18:$BL$18,$BF$26+1),0))</f>
        <v>0.81313656935654066</v>
      </c>
      <c r="I27" s="3"/>
      <c r="J27" s="37"/>
      <c r="K27" s="33"/>
      <c r="L27" s="33"/>
      <c r="M27" s="34"/>
      <c r="T27" s="34"/>
      <c r="AD27" s="2"/>
      <c r="BE27" s="117" t="s">
        <v>44</v>
      </c>
      <c r="BF27" s="80">
        <f>MAX($BG$19:$BJ$19)</f>
        <v>4</v>
      </c>
      <c r="BG27" s="79">
        <f t="shared" ref="BG27:BI27" si="33">IFERROR(INDEX($BP$8:$BR$23,$BO15,BG$19),".")</f>
        <v>2</v>
      </c>
      <c r="BH27" s="79" t="str">
        <f t="shared" si="33"/>
        <v>.</v>
      </c>
      <c r="BI27" s="79" t="str">
        <f t="shared" si="33"/>
        <v>.</v>
      </c>
      <c r="BJ27" s="79"/>
      <c r="BK27" s="79"/>
      <c r="BM27" s="79">
        <f t="shared" si="20"/>
        <v>0</v>
      </c>
    </row>
    <row r="28" spans="1:75" x14ac:dyDescent="0.25">
      <c r="B28" s="140">
        <f t="shared" si="27"/>
        <v>7</v>
      </c>
      <c r="C28" s="50">
        <f t="shared" si="29"/>
        <v>1</v>
      </c>
      <c r="D28" s="186">
        <f t="shared" si="30"/>
        <v>-1</v>
      </c>
      <c r="E28" s="43">
        <v>10</v>
      </c>
      <c r="F28" s="44">
        <v>1500</v>
      </c>
      <c r="G28" s="136">
        <v>3.5</v>
      </c>
      <c r="H28" s="152">
        <f>BM26-(SUMPRODUCT(BG26:INDEX($BG26:$BK26,$BF$26),$BG$18:INDEX($BG$18:$BK$18,$BF$26))+IF($BF$27=4,INDEX($BG$18:$BL$18,$BF$26+1),0))</f>
        <v>5.3975477543817263E-2</v>
      </c>
      <c r="I28" s="3"/>
      <c r="J28" s="37"/>
      <c r="K28" s="33"/>
      <c r="L28" s="33"/>
      <c r="M28" s="34"/>
      <c r="T28" s="34"/>
      <c r="BE28" s="117" t="s">
        <v>43</v>
      </c>
      <c r="BF28" s="54">
        <f>COUNT(BG19:BL19)</f>
        <v>2</v>
      </c>
      <c r="BG28" s="79">
        <f t="shared" ref="BG28:BI28" si="34">IFERROR(INDEX($BP$8:$BR$23,$BO16,BG$19),".")</f>
        <v>2</v>
      </c>
      <c r="BH28" s="79" t="str">
        <f t="shared" si="34"/>
        <v>.</v>
      </c>
      <c r="BI28" s="79" t="str">
        <f t="shared" si="34"/>
        <v>.</v>
      </c>
      <c r="BJ28" s="79"/>
      <c r="BK28" s="79"/>
      <c r="BM28" s="79">
        <f t="shared" si="20"/>
        <v>0</v>
      </c>
    </row>
    <row r="29" spans="1:75" x14ac:dyDescent="0.25">
      <c r="B29" s="140">
        <f t="shared" si="27"/>
        <v>8</v>
      </c>
      <c r="C29" s="50">
        <f t="shared" si="29"/>
        <v>-19</v>
      </c>
      <c r="D29" s="186">
        <f t="shared" si="30"/>
        <v>2</v>
      </c>
      <c r="E29" s="43"/>
      <c r="F29" s="44"/>
      <c r="G29" s="136"/>
      <c r="H29" s="152">
        <f>BM27-(SUMPRODUCT(BG27:INDEX($BG27:$BK27,$BF$26),$BG$18:INDEX($BG$18:$BK$18,$BF$26))+IF($BF$27=4,INDEX($BG$18:$BL$18,$BF$26+1),0))</f>
        <v>-0.91819438473709725</v>
      </c>
      <c r="I29" s="3"/>
      <c r="J29" s="37"/>
      <c r="K29" s="33"/>
      <c r="L29" s="33"/>
      <c r="M29" s="34"/>
      <c r="T29" s="34"/>
      <c r="BE29" s="80"/>
      <c r="BF29" s="2"/>
      <c r="BG29" s="79">
        <f t="shared" ref="BG29:BI29" si="35">IFERROR(INDEX($BP$8:$BR$23,$BO17,BG$19),".")</f>
        <v>0</v>
      </c>
      <c r="BH29" s="79" t="str">
        <f t="shared" si="35"/>
        <v>.</v>
      </c>
      <c r="BI29" s="79" t="str">
        <f t="shared" si="35"/>
        <v>.</v>
      </c>
      <c r="BJ29" s="79"/>
      <c r="BK29" s="79"/>
      <c r="BM29" s="79">
        <f t="shared" ref="BM29:BM34" si="36">AD26</f>
        <v>0</v>
      </c>
    </row>
    <row r="30" spans="1:75" x14ac:dyDescent="0.25">
      <c r="B30" s="140">
        <f t="shared" si="27"/>
        <v>9</v>
      </c>
      <c r="C30" s="50">
        <f t="shared" si="29"/>
        <v>-19</v>
      </c>
      <c r="D30" s="186">
        <f t="shared" si="30"/>
        <v>2</v>
      </c>
      <c r="E30" s="142"/>
      <c r="F30" s="44"/>
      <c r="G30" s="97"/>
      <c r="H30" s="152">
        <f>BM28-(SUMPRODUCT(BG28:INDEX($BG28:$BK28,$BF$26),$BG$18:INDEX($BG$18:$BK$18,$BF$26))+IF($BF$27=4,INDEX($BG$18:$BL$18,$BF$26+1),0))</f>
        <v>-0.91819438473709725</v>
      </c>
      <c r="I30" s="3"/>
      <c r="J30" s="37"/>
      <c r="K30" s="33"/>
      <c r="L30" s="33"/>
      <c r="M30" s="34"/>
      <c r="T30" s="34"/>
      <c r="BE30" s="80"/>
      <c r="BF30" s="2"/>
      <c r="BG30" s="79">
        <f t="shared" ref="BG30:BI30" si="37">IFERROR(INDEX($BP$8:$BR$23,$BO18,BG$19),".")</f>
        <v>2</v>
      </c>
      <c r="BH30" s="79" t="str">
        <f t="shared" si="37"/>
        <v>.</v>
      </c>
      <c r="BI30" s="79" t="str">
        <f t="shared" si="37"/>
        <v>.</v>
      </c>
      <c r="BJ30" s="79"/>
      <c r="BK30" s="79"/>
      <c r="BM30" s="79">
        <f t="shared" si="36"/>
        <v>0</v>
      </c>
    </row>
    <row r="31" spans="1:75" x14ac:dyDescent="0.25">
      <c r="B31" s="140">
        <f t="shared" si="27"/>
        <v>10</v>
      </c>
      <c r="C31" s="50"/>
      <c r="D31" s="53"/>
      <c r="E31" s="142"/>
      <c r="F31" s="44"/>
      <c r="G31" s="97"/>
      <c r="H31" s="152"/>
      <c r="I31" s="2"/>
      <c r="J31" s="2"/>
      <c r="K31" s="99"/>
      <c r="L31" s="99"/>
      <c r="M31" s="99"/>
      <c r="T31" s="2"/>
      <c r="U31" s="2"/>
      <c r="V31" s="2"/>
      <c r="BE31" s="80"/>
      <c r="BF31" s="2"/>
      <c r="BG31" s="79">
        <f t="shared" ref="BG31:BI31" si="38">IFERROR(INDEX($BP$8:$BR$23,$BO19,BG$19),".")</f>
        <v>2</v>
      </c>
      <c r="BH31" s="79" t="str">
        <f t="shared" si="38"/>
        <v>.</v>
      </c>
      <c r="BI31" s="79" t="str">
        <f t="shared" si="38"/>
        <v>.</v>
      </c>
      <c r="BJ31" s="79"/>
      <c r="BK31" s="79"/>
      <c r="BM31" s="79">
        <f t="shared" si="36"/>
        <v>0</v>
      </c>
    </row>
    <row r="32" spans="1:75" x14ac:dyDescent="0.25">
      <c r="B32" s="140">
        <f t="shared" si="27"/>
        <v>11</v>
      </c>
      <c r="C32" s="50">
        <f t="shared" si="23"/>
        <v>-19</v>
      </c>
      <c r="D32" s="118">
        <f t="shared" si="24"/>
        <v>2</v>
      </c>
      <c r="E32" s="43"/>
      <c r="F32" s="44"/>
      <c r="G32" s="136"/>
      <c r="H32" s="152"/>
      <c r="I32" s="2"/>
      <c r="J32" s="2"/>
      <c r="K32" s="2"/>
      <c r="L32" s="2"/>
      <c r="M32" s="2"/>
      <c r="T32" s="2"/>
      <c r="U32" s="2"/>
      <c r="V32" s="2"/>
      <c r="BE32" s="80"/>
      <c r="BF32" s="2"/>
      <c r="BG32" s="79">
        <f t="shared" ref="BG32:BI32" si="39">IFERROR(INDEX($BP$8:$BR$23,$BO20,BG$19),".")</f>
        <v>2</v>
      </c>
      <c r="BH32" s="79" t="str">
        <f t="shared" si="39"/>
        <v>.</v>
      </c>
      <c r="BI32" s="79" t="str">
        <f t="shared" si="39"/>
        <v>.</v>
      </c>
      <c r="BJ32" s="79"/>
      <c r="BK32" s="79"/>
      <c r="BM32" s="79">
        <f t="shared" si="36"/>
        <v>0</v>
      </c>
    </row>
    <row r="33" spans="2:65" x14ac:dyDescent="0.25">
      <c r="B33" s="140">
        <f t="shared" si="27"/>
        <v>12</v>
      </c>
      <c r="C33" s="50">
        <f t="shared" si="23"/>
        <v>-19</v>
      </c>
      <c r="D33" s="118">
        <f t="shared" si="24"/>
        <v>2</v>
      </c>
      <c r="E33" s="43"/>
      <c r="F33" s="44"/>
      <c r="G33" s="136"/>
      <c r="H33" s="152"/>
      <c r="I33" s="2"/>
      <c r="J33" s="2"/>
      <c r="BE33" s="80"/>
      <c r="BF33" s="2"/>
      <c r="BG33" s="79">
        <f t="shared" ref="BG33:BI33" si="40">IFERROR(INDEX($BP$8:$BR$23,$BO21,BG$19),".")</f>
        <v>2</v>
      </c>
      <c r="BH33" s="79" t="str">
        <f t="shared" si="40"/>
        <v>.</v>
      </c>
      <c r="BI33" s="79" t="str">
        <f t="shared" si="40"/>
        <v>.</v>
      </c>
      <c r="BJ33" s="79"/>
      <c r="BK33" s="79"/>
      <c r="BM33" s="79">
        <f t="shared" si="36"/>
        <v>0</v>
      </c>
    </row>
    <row r="34" spans="2:65" x14ac:dyDescent="0.25">
      <c r="B34" s="140">
        <f t="shared" si="27"/>
        <v>13</v>
      </c>
      <c r="C34" s="50">
        <f t="shared" si="23"/>
        <v>-19</v>
      </c>
      <c r="D34" s="118">
        <f t="shared" si="24"/>
        <v>2</v>
      </c>
      <c r="E34" s="43"/>
      <c r="F34" s="44"/>
      <c r="G34" s="136"/>
      <c r="H34" s="152"/>
      <c r="I34" s="2"/>
      <c r="J34" s="2"/>
      <c r="BE34" s="80"/>
      <c r="BF34" s="2"/>
      <c r="BG34" s="79">
        <f t="shared" ref="BG34:BI34" si="41">IFERROR(INDEX($BP$8:$BR$23,$BO22,BG$19),".")</f>
        <v>2</v>
      </c>
      <c r="BH34" s="79" t="str">
        <f t="shared" si="41"/>
        <v>.</v>
      </c>
      <c r="BI34" s="79" t="str">
        <f t="shared" si="41"/>
        <v>.</v>
      </c>
      <c r="BJ34" s="79"/>
      <c r="BK34" s="79"/>
      <c r="BM34" s="79">
        <f t="shared" si="36"/>
        <v>0</v>
      </c>
    </row>
    <row r="35" spans="2:65" x14ac:dyDescent="0.25">
      <c r="B35" s="140">
        <f t="shared" si="27"/>
        <v>14</v>
      </c>
      <c r="C35" s="50">
        <f t="shared" si="23"/>
        <v>-19</v>
      </c>
      <c r="D35" s="118">
        <f t="shared" si="24"/>
        <v>2</v>
      </c>
      <c r="E35" s="43"/>
      <c r="F35" s="44"/>
      <c r="G35" s="136"/>
      <c r="H35" s="152"/>
      <c r="I35" s="3"/>
      <c r="J35" s="3"/>
      <c r="K35" s="5"/>
      <c r="L35" s="5"/>
    </row>
    <row r="36" spans="2:65" x14ac:dyDescent="0.25">
      <c r="B36" s="140">
        <f t="shared" si="27"/>
        <v>15</v>
      </c>
      <c r="C36" s="50">
        <f t="shared" si="23"/>
        <v>-19</v>
      </c>
      <c r="D36" s="118">
        <f t="shared" si="24"/>
        <v>2</v>
      </c>
      <c r="E36" s="43"/>
      <c r="F36" s="44"/>
      <c r="G36" s="136"/>
      <c r="H36" s="152"/>
      <c r="I36" s="3"/>
      <c r="J36" s="3"/>
      <c r="K36" s="5"/>
      <c r="L36" s="5"/>
    </row>
    <row r="37" spans="2:65" x14ac:dyDescent="0.25">
      <c r="B37" s="140">
        <f t="shared" si="27"/>
        <v>16</v>
      </c>
      <c r="C37" s="50">
        <f t="shared" si="23"/>
        <v>-19</v>
      </c>
      <c r="D37" s="118">
        <f t="shared" si="24"/>
        <v>2</v>
      </c>
      <c r="E37" s="43"/>
      <c r="F37" s="44"/>
      <c r="G37" s="136"/>
      <c r="H37" s="152"/>
      <c r="I37" s="137"/>
      <c r="J37" s="2"/>
    </row>
    <row r="38" spans="2:65" ht="15.75" thickBot="1" x14ac:dyDescent="0.3">
      <c r="B38" s="141"/>
      <c r="C38" s="143"/>
      <c r="D38" s="144"/>
      <c r="E38" s="43"/>
      <c r="F38" s="44"/>
      <c r="G38" s="98"/>
      <c r="H38" s="152"/>
      <c r="I38" s="2"/>
      <c r="J38" s="2"/>
    </row>
    <row r="39" spans="2:65" x14ac:dyDescent="0.25">
      <c r="B39" s="2"/>
      <c r="C39" s="4"/>
      <c r="D39" s="2"/>
      <c r="E39" s="2"/>
      <c r="F39" s="2"/>
      <c r="G39" s="2"/>
      <c r="H39" s="2"/>
      <c r="I39" s="2"/>
      <c r="J39" s="2"/>
    </row>
    <row r="40" spans="2:65" x14ac:dyDescent="0.25">
      <c r="B40" s="2"/>
      <c r="C40" s="2"/>
      <c r="D40" s="2"/>
      <c r="E40" s="2"/>
      <c r="F40" s="2"/>
      <c r="G40" s="2"/>
      <c r="H40" s="2"/>
      <c r="I40" s="2"/>
      <c r="J40" s="2"/>
    </row>
    <row r="41" spans="2:65" x14ac:dyDescent="0.25">
      <c r="B41" s="2"/>
      <c r="C41" s="2"/>
      <c r="D41" s="2"/>
      <c r="E41" s="2"/>
      <c r="F41" s="2"/>
      <c r="G41" s="2"/>
      <c r="H41" s="2"/>
      <c r="I41" s="2"/>
      <c r="J41" s="2"/>
    </row>
    <row r="42" spans="2:65" x14ac:dyDescent="0.25">
      <c r="B42" s="2"/>
      <c r="C42" s="2"/>
      <c r="D42" s="2"/>
      <c r="E42" s="2"/>
      <c r="F42" s="2"/>
      <c r="G42" s="2"/>
      <c r="H42" s="2"/>
      <c r="I42" s="2"/>
      <c r="J42" s="2"/>
    </row>
    <row r="43" spans="2:65" x14ac:dyDescent="0.25">
      <c r="B43" s="2"/>
      <c r="C43" s="2"/>
      <c r="D43" s="2"/>
      <c r="E43" s="2"/>
      <c r="F43" s="2"/>
      <c r="G43" s="2"/>
      <c r="H43" s="2"/>
      <c r="I43" s="2"/>
      <c r="J43" s="2"/>
    </row>
    <row r="44" spans="2:65" x14ac:dyDescent="0.25">
      <c r="B44" s="2"/>
      <c r="C44" s="2"/>
      <c r="D44" s="2"/>
      <c r="E44" s="2"/>
      <c r="F44" s="2"/>
      <c r="G44" s="2"/>
      <c r="H44" s="2"/>
      <c r="I44" s="2"/>
      <c r="J44" s="2"/>
    </row>
    <row r="45" spans="2:65" x14ac:dyDescent="0.25">
      <c r="B45" s="2"/>
      <c r="C45" s="2"/>
      <c r="D45" s="2"/>
      <c r="E45" s="2"/>
      <c r="F45" s="2"/>
      <c r="G45" s="2"/>
      <c r="H45" s="2"/>
      <c r="I45" s="2"/>
      <c r="J45" s="2"/>
    </row>
  </sheetData>
  <mergeCells count="7">
    <mergeCell ref="C19:D19"/>
    <mergeCell ref="E19:F19"/>
    <mergeCell ref="J2:K2"/>
    <mergeCell ref="C2:D2"/>
    <mergeCell ref="E2:F2"/>
    <mergeCell ref="C3:D3"/>
    <mergeCell ref="E3:F3"/>
  </mergeCells>
  <conditionalFormatting sqref="N11:S11">
    <cfRule type="cellIs" dxfId="5" priority="1" operator="equal">
      <formula>"n sig"</formula>
    </cfRule>
    <cfRule type="cellIs" dxfId="4" priority="2" operator="equal">
      <formula>"sig"</formula>
    </cfRule>
    <cfRule type="cellIs" dxfId="3" priority="3" operator="equal">
      <formula>"""sig"""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ignoredErrors>
    <ignoredError sqref="D9:E9" formula="1"/>
  </ignoredErrors>
  <drawing r:id="rId2"/>
  <legacyDrawing r:id="rId3"/>
  <oleObjects>
    <mc:AlternateContent xmlns:mc="http://schemas.openxmlformats.org/markup-compatibility/2006">
      <mc:Choice Requires="x14">
        <oleObject progId="Equation.3" shapeId="34817" r:id="rId4">
          <objectPr defaultSize="0" autoPict="0" r:id="rId5">
            <anchor moveWithCells="1">
              <from>
                <xdr:col>0</xdr:col>
                <xdr:colOff>533400</xdr:colOff>
                <xdr:row>39</xdr:row>
                <xdr:rowOff>66675</xdr:rowOff>
              </from>
              <to>
                <xdr:col>7</xdr:col>
                <xdr:colOff>400050</xdr:colOff>
                <xdr:row>44</xdr:row>
                <xdr:rowOff>38100</xdr:rowOff>
              </to>
            </anchor>
          </objectPr>
        </oleObject>
      </mc:Choice>
      <mc:Fallback>
        <oleObject progId="Equation.3" shapeId="34817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PlanFat_2x2 completo (2)</vt:lpstr>
      <vt:lpstr>PlanFat_2x2 completo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Nivia</dc:creator>
  <cp:lastModifiedBy>Andre Fernando de Oliveira</cp:lastModifiedBy>
  <dcterms:created xsi:type="dcterms:W3CDTF">2013-08-17T12:32:07Z</dcterms:created>
  <dcterms:modified xsi:type="dcterms:W3CDTF">2017-11-20T02:48:24Z</dcterms:modified>
</cp:coreProperties>
</file>